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momo.pref.okayama.jp\統合共有\0F50_医薬安全課\0103特定班\014_指定医療機関\01_難病指定医療機関\77_一覧\ホームページ公表\R080318HP公表\"/>
    </mc:Choice>
  </mc:AlternateContent>
  <xr:revisionPtr revIDLastSave="0" documentId="13_ncr:9_{F7721E02-51EA-4D32-9684-B09486FB6469}" xr6:coauthVersionLast="47" xr6:coauthVersionMax="47" xr10:uidLastSave="{00000000-0000-0000-0000-000000000000}"/>
  <bookViews>
    <workbookView xWindow="-120" yWindow="-120" windowWidth="29040" windowHeight="15720" xr2:uid="{BB1F0EBA-8CA8-4309-AD66-9B295569EB80}"/>
  </bookViews>
  <sheets>
    <sheet name="病院" sheetId="2" r:id="rId1"/>
    <sheet name="薬局" sheetId="3" r:id="rId2"/>
    <sheet name="訪問看護" sheetId="4" r:id="rId3"/>
  </sheets>
  <definedNames>
    <definedName name="_xlnm.Print_Area" localSheetId="0">病院!$A:$E</definedName>
    <definedName name="_xlnm.Print_Area" localSheetId="2">訪問看護!$A:$E</definedName>
    <definedName name="_xlnm.Print_Area" localSheetId="1">薬局!$A:$E</definedName>
    <definedName name="_xlnm.Print_Titles" localSheetId="0">病院!$1:$3</definedName>
    <definedName name="_xlnm.Print_Titles" localSheetId="2">訪問看護!$1:$3</definedName>
    <definedName name="_xlnm.Print_Titles" localSheetId="1">薬局!$1:$3</definedName>
  </definedNames>
  <calcPr calcId="0"/>
</workbook>
</file>

<file path=xl/calcChain.xml><?xml version="1.0" encoding="utf-8"?>
<calcChain xmlns="http://schemas.openxmlformats.org/spreadsheetml/2006/main">
  <c r="D115" i="4" l="1"/>
  <c r="C115" i="4"/>
  <c r="C116" i="4"/>
  <c r="C124" i="4"/>
  <c r="C62" i="4"/>
  <c r="C123" i="4"/>
  <c r="D110" i="4"/>
  <c r="C110" i="4"/>
  <c r="C109" i="4"/>
  <c r="C113" i="4"/>
  <c r="C114" i="4"/>
  <c r="C111" i="4"/>
  <c r="C112" i="4"/>
  <c r="C92" i="4"/>
  <c r="D122" i="4"/>
  <c r="C122" i="4"/>
  <c r="C117" i="4"/>
  <c r="D119" i="4"/>
  <c r="C119" i="4"/>
  <c r="D118" i="4"/>
  <c r="C118" i="4"/>
  <c r="D121" i="4"/>
  <c r="C121" i="4"/>
  <c r="D75" i="4"/>
  <c r="C75" i="4"/>
  <c r="D103" i="4"/>
  <c r="C103" i="4"/>
  <c r="D102" i="4"/>
  <c r="C102" i="4"/>
  <c r="C120" i="4"/>
  <c r="C107" i="4"/>
  <c r="C106" i="4"/>
  <c r="C108" i="4"/>
  <c r="C104" i="4"/>
  <c r="C105" i="4"/>
  <c r="C100" i="4"/>
  <c r="D98" i="4"/>
  <c r="C98" i="4"/>
  <c r="D97" i="4"/>
  <c r="C97" i="4"/>
  <c r="C101" i="4"/>
  <c r="D99" i="4"/>
  <c r="C99" i="4"/>
  <c r="C96" i="4"/>
  <c r="C95" i="4"/>
  <c r="D91" i="4"/>
  <c r="C91" i="4"/>
  <c r="C93" i="4"/>
  <c r="D94" i="4"/>
  <c r="C94" i="4"/>
  <c r="D83" i="4"/>
  <c r="C83" i="4"/>
  <c r="C84" i="4"/>
  <c r="D90" i="4"/>
  <c r="C90" i="4"/>
  <c r="C85" i="4"/>
  <c r="D89" i="4"/>
  <c r="C89" i="4"/>
  <c r="C87" i="4"/>
  <c r="D88" i="4"/>
  <c r="C88" i="4"/>
  <c r="C86" i="4"/>
  <c r="D82" i="4"/>
  <c r="C82" i="4"/>
  <c r="C81" i="4"/>
  <c r="C79" i="4"/>
  <c r="D80" i="4"/>
  <c r="C80" i="4"/>
  <c r="D78" i="4"/>
  <c r="C78" i="4"/>
  <c r="C77" i="4"/>
  <c r="D76" i="4"/>
  <c r="C76" i="4"/>
  <c r="D73" i="4"/>
  <c r="C73" i="4"/>
  <c r="C74" i="4"/>
  <c r="D71" i="4"/>
  <c r="C71" i="4"/>
  <c r="D68" i="4"/>
  <c r="C68" i="4"/>
  <c r="D69" i="4"/>
  <c r="C69" i="4"/>
  <c r="C65" i="4"/>
  <c r="D67" i="4"/>
  <c r="C67" i="4"/>
  <c r="D64" i="4"/>
  <c r="C64" i="4"/>
  <c r="C61" i="4"/>
  <c r="C66" i="4"/>
  <c r="D63" i="4"/>
  <c r="C63" i="4"/>
  <c r="C72" i="4"/>
  <c r="C70" i="4"/>
  <c r="D12" i="4"/>
  <c r="C12" i="4"/>
  <c r="D17" i="4"/>
  <c r="C17" i="4"/>
  <c r="D15" i="4"/>
  <c r="C15" i="4"/>
  <c r="D14" i="4"/>
  <c r="C14" i="4"/>
  <c r="D16" i="4"/>
  <c r="C16" i="4"/>
  <c r="D25" i="4"/>
  <c r="C25" i="4"/>
  <c r="C59" i="4"/>
  <c r="D33" i="4"/>
  <c r="C33" i="4"/>
  <c r="D8" i="4"/>
  <c r="C8" i="4"/>
  <c r="D4" i="4"/>
  <c r="C4" i="4"/>
  <c r="D46" i="4"/>
  <c r="C46" i="4"/>
  <c r="C47" i="4"/>
  <c r="C56" i="4"/>
  <c r="D7" i="4"/>
  <c r="C7" i="4"/>
  <c r="D6" i="4"/>
  <c r="C6" i="4"/>
  <c r="D38" i="4"/>
  <c r="C38" i="4"/>
  <c r="D49" i="4"/>
  <c r="C49" i="4"/>
  <c r="D57" i="4"/>
  <c r="C57" i="4"/>
  <c r="D34" i="4"/>
  <c r="C34" i="4"/>
  <c r="D58" i="4"/>
  <c r="C58" i="4"/>
  <c r="D10" i="4"/>
  <c r="C10" i="4"/>
  <c r="D35" i="4"/>
  <c r="C35" i="4"/>
  <c r="D30" i="4"/>
  <c r="C30" i="4"/>
  <c r="D55" i="4"/>
  <c r="C55" i="4"/>
  <c r="D45" i="4"/>
  <c r="C45" i="4"/>
  <c r="C39" i="4"/>
  <c r="C19" i="4"/>
  <c r="D27" i="4"/>
  <c r="C27" i="4"/>
  <c r="D43" i="4"/>
  <c r="C43" i="4"/>
  <c r="D22" i="4"/>
  <c r="C22" i="4"/>
  <c r="C40" i="4"/>
  <c r="C31" i="4"/>
  <c r="C26" i="4"/>
  <c r="D54" i="4"/>
  <c r="C54" i="4"/>
  <c r="D51" i="4"/>
  <c r="C51" i="4"/>
  <c r="C37" i="4"/>
  <c r="C48" i="4"/>
  <c r="D44" i="4"/>
  <c r="C44" i="4"/>
  <c r="D42" i="4"/>
  <c r="C42" i="4"/>
  <c r="C9" i="4"/>
  <c r="D5" i="4"/>
  <c r="C5" i="4"/>
  <c r="C36" i="4"/>
  <c r="D29" i="4"/>
  <c r="C29" i="4"/>
  <c r="D13" i="4"/>
  <c r="C13" i="4"/>
  <c r="D60" i="4"/>
  <c r="C60" i="4"/>
  <c r="D21" i="4"/>
  <c r="C21" i="4"/>
  <c r="D11" i="4"/>
  <c r="C11" i="4"/>
  <c r="D28" i="4"/>
  <c r="C28" i="4"/>
  <c r="D41" i="4"/>
  <c r="C41" i="4"/>
  <c r="D32" i="4"/>
  <c r="C32" i="4"/>
  <c r="D20" i="4"/>
  <c r="C20" i="4"/>
  <c r="D53" i="4"/>
  <c r="C53" i="4"/>
  <c r="C52" i="4"/>
  <c r="D23" i="4"/>
  <c r="C23" i="4"/>
  <c r="D18" i="4"/>
  <c r="C18" i="4"/>
  <c r="D50" i="4"/>
  <c r="C50" i="4"/>
  <c r="D24" i="4"/>
  <c r="C24" i="4"/>
  <c r="D471" i="3"/>
  <c r="C471" i="3"/>
  <c r="D472" i="3"/>
  <c r="C472" i="3"/>
  <c r="C473" i="3"/>
  <c r="C470" i="3"/>
  <c r="D468" i="3"/>
  <c r="C468" i="3"/>
  <c r="C469" i="3"/>
  <c r="D425" i="3"/>
  <c r="C425" i="3"/>
  <c r="D429" i="3"/>
  <c r="C429" i="3"/>
  <c r="C417" i="3"/>
  <c r="D421" i="3"/>
  <c r="C421" i="3"/>
  <c r="C420" i="3"/>
  <c r="C427" i="3"/>
  <c r="D465" i="3"/>
  <c r="C465" i="3"/>
  <c r="D464" i="3"/>
  <c r="C464" i="3"/>
  <c r="C466" i="3"/>
  <c r="D463" i="3"/>
  <c r="C463" i="3"/>
  <c r="C462" i="3"/>
  <c r="D182" i="3"/>
  <c r="C182" i="3"/>
  <c r="D467" i="3"/>
  <c r="C467" i="3"/>
  <c r="D238" i="3"/>
  <c r="C238" i="3"/>
  <c r="D184" i="3"/>
  <c r="C184" i="3"/>
  <c r="D459" i="3"/>
  <c r="C459" i="3"/>
  <c r="D460" i="3"/>
  <c r="C460" i="3"/>
  <c r="C461" i="3"/>
  <c r="D406" i="3"/>
  <c r="C406" i="3"/>
  <c r="C395" i="3"/>
  <c r="D403" i="3"/>
  <c r="C403" i="3"/>
  <c r="C399" i="3"/>
  <c r="D396" i="3"/>
  <c r="C396" i="3"/>
  <c r="D398" i="3"/>
  <c r="C398" i="3"/>
  <c r="D394" i="3"/>
  <c r="C394" i="3"/>
  <c r="D402" i="3"/>
  <c r="C402" i="3"/>
  <c r="C393" i="3"/>
  <c r="D411" i="3"/>
  <c r="C411" i="3"/>
  <c r="D401" i="3"/>
  <c r="C401" i="3"/>
  <c r="D412" i="3"/>
  <c r="C412" i="3"/>
  <c r="D350" i="3"/>
  <c r="C350" i="3"/>
  <c r="D95" i="3"/>
  <c r="C95" i="3"/>
  <c r="D455" i="3"/>
  <c r="C455" i="3"/>
  <c r="D454" i="3"/>
  <c r="C454" i="3"/>
  <c r="D458" i="3"/>
  <c r="C458" i="3"/>
  <c r="D457" i="3"/>
  <c r="C457" i="3"/>
  <c r="C456" i="3"/>
  <c r="D453" i="3"/>
  <c r="C453" i="3"/>
  <c r="D451" i="3"/>
  <c r="C451" i="3"/>
  <c r="D438" i="3"/>
  <c r="C438" i="3"/>
  <c r="D452" i="3"/>
  <c r="C452" i="3"/>
  <c r="D435" i="3"/>
  <c r="C435" i="3"/>
  <c r="D88" i="3"/>
  <c r="C88" i="3"/>
  <c r="C436" i="3"/>
  <c r="D450" i="3"/>
  <c r="C450" i="3"/>
  <c r="D446" i="3"/>
  <c r="C446" i="3"/>
  <c r="C447" i="3"/>
  <c r="D449" i="3"/>
  <c r="C449" i="3"/>
  <c r="D448" i="3"/>
  <c r="C448" i="3"/>
  <c r="D445" i="3"/>
  <c r="C445" i="3"/>
  <c r="D374" i="3"/>
  <c r="C374" i="3"/>
  <c r="D369" i="3"/>
  <c r="C369" i="3"/>
  <c r="D443" i="3"/>
  <c r="C443" i="3"/>
  <c r="D442" i="3"/>
  <c r="C442" i="3"/>
  <c r="D440" i="3"/>
  <c r="C440" i="3"/>
  <c r="C444" i="3"/>
  <c r="C441" i="3"/>
  <c r="C390" i="3"/>
  <c r="D380" i="3"/>
  <c r="C380" i="3"/>
  <c r="D384" i="3"/>
  <c r="C384" i="3"/>
  <c r="D385" i="3"/>
  <c r="C385" i="3"/>
  <c r="D430" i="3"/>
  <c r="C430" i="3"/>
  <c r="C437" i="3"/>
  <c r="D432" i="3"/>
  <c r="C432" i="3"/>
  <c r="D433" i="3"/>
  <c r="C433" i="3"/>
  <c r="D439" i="3"/>
  <c r="C439" i="3"/>
  <c r="D431" i="3"/>
  <c r="C431" i="3"/>
  <c r="D434" i="3"/>
  <c r="C434" i="3"/>
  <c r="D419" i="3"/>
  <c r="C419" i="3"/>
  <c r="D423" i="3"/>
  <c r="C423" i="3"/>
  <c r="D422" i="3"/>
  <c r="C422" i="3"/>
  <c r="D428" i="3"/>
  <c r="C428" i="3"/>
  <c r="D416" i="3"/>
  <c r="C416" i="3"/>
  <c r="D424" i="3"/>
  <c r="C424" i="3"/>
  <c r="D418" i="3"/>
  <c r="C418" i="3"/>
  <c r="D415" i="3"/>
  <c r="C415" i="3"/>
  <c r="D426" i="3"/>
  <c r="C426" i="3"/>
  <c r="D407" i="3"/>
  <c r="C407" i="3"/>
  <c r="C409" i="3"/>
  <c r="D408" i="3"/>
  <c r="C408" i="3"/>
  <c r="D392" i="3"/>
  <c r="C392" i="3"/>
  <c r="D405" i="3"/>
  <c r="C405" i="3"/>
  <c r="D410" i="3"/>
  <c r="C410" i="3"/>
  <c r="D414" i="3"/>
  <c r="C414" i="3"/>
  <c r="C400" i="3"/>
  <c r="C413" i="3"/>
  <c r="C397" i="3"/>
  <c r="D404" i="3"/>
  <c r="C404" i="3"/>
  <c r="D377" i="3"/>
  <c r="C377" i="3"/>
  <c r="D389" i="3"/>
  <c r="C389" i="3"/>
  <c r="D388" i="3"/>
  <c r="C388" i="3"/>
  <c r="D387" i="3"/>
  <c r="C387" i="3"/>
  <c r="D386" i="3"/>
  <c r="C386" i="3"/>
  <c r="D382" i="3"/>
  <c r="C382" i="3"/>
  <c r="D381" i="3"/>
  <c r="C381" i="3"/>
  <c r="D378" i="3"/>
  <c r="C378" i="3"/>
  <c r="C391" i="3"/>
  <c r="D379" i="3"/>
  <c r="C379" i="3"/>
  <c r="D383" i="3"/>
  <c r="C383" i="3"/>
  <c r="D376" i="3"/>
  <c r="C376" i="3"/>
  <c r="D365" i="3"/>
  <c r="C365" i="3"/>
  <c r="D366" i="3"/>
  <c r="C366" i="3"/>
  <c r="D370" i="3"/>
  <c r="C370" i="3"/>
  <c r="D373" i="3"/>
  <c r="C373" i="3"/>
  <c r="D372" i="3"/>
  <c r="C372" i="3"/>
  <c r="D367" i="3"/>
  <c r="C367" i="3"/>
  <c r="D375" i="3"/>
  <c r="C375" i="3"/>
  <c r="D371" i="3"/>
  <c r="C371" i="3"/>
  <c r="D364" i="3"/>
  <c r="C364" i="3"/>
  <c r="D368" i="3"/>
  <c r="C368" i="3"/>
  <c r="D357" i="3"/>
  <c r="C357" i="3"/>
  <c r="C358" i="3"/>
  <c r="D361" i="3"/>
  <c r="C361" i="3"/>
  <c r="D360" i="3"/>
  <c r="C360" i="3"/>
  <c r="D359" i="3"/>
  <c r="C359" i="3"/>
  <c r="D363" i="3"/>
  <c r="C363" i="3"/>
  <c r="D362" i="3"/>
  <c r="C362" i="3"/>
  <c r="D356" i="3"/>
  <c r="C356" i="3"/>
  <c r="C351" i="3"/>
  <c r="D349" i="3"/>
  <c r="C349" i="3"/>
  <c r="D353" i="3"/>
  <c r="C353" i="3"/>
  <c r="D355" i="3"/>
  <c r="C355" i="3"/>
  <c r="D354" i="3"/>
  <c r="C354" i="3"/>
  <c r="C352" i="3"/>
  <c r="D347" i="3"/>
  <c r="C347" i="3"/>
  <c r="D346" i="3"/>
  <c r="C346" i="3"/>
  <c r="D348" i="3"/>
  <c r="C348" i="3"/>
  <c r="D340" i="3"/>
  <c r="C340" i="3"/>
  <c r="C344" i="3"/>
  <c r="D341" i="3"/>
  <c r="C341" i="3"/>
  <c r="D339" i="3"/>
  <c r="C339" i="3"/>
  <c r="D345" i="3"/>
  <c r="C345" i="3"/>
  <c r="C336" i="3"/>
  <c r="D342" i="3"/>
  <c r="C342" i="3"/>
  <c r="D335" i="3"/>
  <c r="C335" i="3"/>
  <c r="D337" i="3"/>
  <c r="C337" i="3"/>
  <c r="D338" i="3"/>
  <c r="C338" i="3"/>
  <c r="D343" i="3"/>
  <c r="C343" i="3"/>
  <c r="D314" i="3"/>
  <c r="C314" i="3"/>
  <c r="D328" i="3"/>
  <c r="C328" i="3"/>
  <c r="D310" i="3"/>
  <c r="C310" i="3"/>
  <c r="C320" i="3"/>
  <c r="D331" i="3"/>
  <c r="C331" i="3"/>
  <c r="D309" i="3"/>
  <c r="C309" i="3"/>
  <c r="D321" i="3"/>
  <c r="C321" i="3"/>
  <c r="D316" i="3"/>
  <c r="C316" i="3"/>
  <c r="D334" i="3"/>
  <c r="C334" i="3"/>
  <c r="D315" i="3"/>
  <c r="C315" i="3"/>
  <c r="D319" i="3"/>
  <c r="C319" i="3"/>
  <c r="D312" i="3"/>
  <c r="C312" i="3"/>
  <c r="D318" i="3"/>
  <c r="C318" i="3"/>
  <c r="D323" i="3"/>
  <c r="C323" i="3"/>
  <c r="D313" i="3"/>
  <c r="C313" i="3"/>
  <c r="D311" i="3"/>
  <c r="C311" i="3"/>
  <c r="D326" i="3"/>
  <c r="C326" i="3"/>
  <c r="D329" i="3"/>
  <c r="C329" i="3"/>
  <c r="D330" i="3"/>
  <c r="C330" i="3"/>
  <c r="C317" i="3"/>
  <c r="C322" i="3"/>
  <c r="D332" i="3"/>
  <c r="C332" i="3"/>
  <c r="D324" i="3"/>
  <c r="C324" i="3"/>
  <c r="D327" i="3"/>
  <c r="C327" i="3"/>
  <c r="C333" i="3"/>
  <c r="D325" i="3"/>
  <c r="C325" i="3"/>
  <c r="D305" i="3"/>
  <c r="C305" i="3"/>
  <c r="D297" i="3"/>
  <c r="C297" i="3"/>
  <c r="D306" i="3"/>
  <c r="C306" i="3"/>
  <c r="D298" i="3"/>
  <c r="C298" i="3"/>
  <c r="D304" i="3"/>
  <c r="C304" i="3"/>
  <c r="C308" i="3"/>
  <c r="D295" i="3"/>
  <c r="C295" i="3"/>
  <c r="C302" i="3"/>
  <c r="D301" i="3"/>
  <c r="C301" i="3"/>
  <c r="D293" i="3"/>
  <c r="C293" i="3"/>
  <c r="D294" i="3"/>
  <c r="C294" i="3"/>
  <c r="D307" i="3"/>
  <c r="C307" i="3"/>
  <c r="C303" i="3"/>
  <c r="D296" i="3"/>
  <c r="C296" i="3"/>
  <c r="D299" i="3"/>
  <c r="C299" i="3"/>
  <c r="D300" i="3"/>
  <c r="C300" i="3"/>
  <c r="D291" i="3"/>
  <c r="C291" i="3"/>
  <c r="D292" i="3"/>
  <c r="C292" i="3"/>
  <c r="D276" i="3"/>
  <c r="C276" i="3"/>
  <c r="D279" i="3"/>
  <c r="C279" i="3"/>
  <c r="D290" i="3"/>
  <c r="C290" i="3"/>
  <c r="D281" i="3"/>
  <c r="C281" i="3"/>
  <c r="D277" i="3"/>
  <c r="C277" i="3"/>
  <c r="D280" i="3"/>
  <c r="C280" i="3"/>
  <c r="D284" i="3"/>
  <c r="C284" i="3"/>
  <c r="D285" i="3"/>
  <c r="C285" i="3"/>
  <c r="D288" i="3"/>
  <c r="C288" i="3"/>
  <c r="D287" i="3"/>
  <c r="C287" i="3"/>
  <c r="D286" i="3"/>
  <c r="C286" i="3"/>
  <c r="D278" i="3"/>
  <c r="C278" i="3"/>
  <c r="C289" i="3"/>
  <c r="D283" i="3"/>
  <c r="C283" i="3"/>
  <c r="C282" i="3"/>
  <c r="D272" i="3"/>
  <c r="C272" i="3"/>
  <c r="C270" i="3"/>
  <c r="D265" i="3"/>
  <c r="C265" i="3"/>
  <c r="C245" i="3"/>
  <c r="C248" i="3"/>
  <c r="C266" i="3"/>
  <c r="D256" i="3"/>
  <c r="C256" i="3"/>
  <c r="D258" i="3"/>
  <c r="C258" i="3"/>
  <c r="D269" i="3"/>
  <c r="C269" i="3"/>
  <c r="D262" i="3"/>
  <c r="C262" i="3"/>
  <c r="D255" i="3"/>
  <c r="C255" i="3"/>
  <c r="C261" i="3"/>
  <c r="C264" i="3"/>
  <c r="D257" i="3"/>
  <c r="C257" i="3"/>
  <c r="D249" i="3"/>
  <c r="C249" i="3"/>
  <c r="D267" i="3"/>
  <c r="C267" i="3"/>
  <c r="C250" i="3"/>
  <c r="C247" i="3"/>
  <c r="C244" i="3"/>
  <c r="D253" i="3"/>
  <c r="C253" i="3"/>
  <c r="D252" i="3"/>
  <c r="C252" i="3"/>
  <c r="D275" i="3"/>
  <c r="C275" i="3"/>
  <c r="D260" i="3"/>
  <c r="C260" i="3"/>
  <c r="D254" i="3"/>
  <c r="C254" i="3"/>
  <c r="D251" i="3"/>
  <c r="C251" i="3"/>
  <c r="D263" i="3"/>
  <c r="C263" i="3"/>
  <c r="C273" i="3"/>
  <c r="D271" i="3"/>
  <c r="C271" i="3"/>
  <c r="D259" i="3"/>
  <c r="C259" i="3"/>
  <c r="C274" i="3"/>
  <c r="D268" i="3"/>
  <c r="C268" i="3"/>
  <c r="D246" i="3"/>
  <c r="C246" i="3"/>
  <c r="D210" i="3"/>
  <c r="C210" i="3"/>
  <c r="D198" i="3"/>
  <c r="C198" i="3"/>
  <c r="D211" i="3"/>
  <c r="C211" i="3"/>
  <c r="D189" i="3"/>
  <c r="C189" i="3"/>
  <c r="D225" i="3"/>
  <c r="C225" i="3"/>
  <c r="D218" i="3"/>
  <c r="C218" i="3"/>
  <c r="D217" i="3"/>
  <c r="C217" i="3"/>
  <c r="D179" i="3"/>
  <c r="C179" i="3"/>
  <c r="C241" i="3"/>
  <c r="D226" i="3"/>
  <c r="C226" i="3"/>
  <c r="D197" i="3"/>
  <c r="C197" i="3"/>
  <c r="D199" i="3"/>
  <c r="C199" i="3"/>
  <c r="D228" i="3"/>
  <c r="C228" i="3"/>
  <c r="D192" i="3"/>
  <c r="C192" i="3"/>
  <c r="D234" i="3"/>
  <c r="C234" i="3"/>
  <c r="D201" i="3"/>
  <c r="C201" i="3"/>
  <c r="C185" i="3"/>
  <c r="C205" i="3"/>
  <c r="D204" i="3"/>
  <c r="C204" i="3"/>
  <c r="D206" i="3"/>
  <c r="C206" i="3"/>
  <c r="D232" i="3"/>
  <c r="C232" i="3"/>
  <c r="D237" i="3"/>
  <c r="C237" i="3"/>
  <c r="D221" i="3"/>
  <c r="C221" i="3"/>
  <c r="D194" i="3"/>
  <c r="C194" i="3"/>
  <c r="D195" i="3"/>
  <c r="C195" i="3"/>
  <c r="D190" i="3"/>
  <c r="C190" i="3"/>
  <c r="D219" i="3"/>
  <c r="C219" i="3"/>
  <c r="D186" i="3"/>
  <c r="C186" i="3"/>
  <c r="D213" i="3"/>
  <c r="C213" i="3"/>
  <c r="D183" i="3"/>
  <c r="C183" i="3"/>
  <c r="D227" i="3"/>
  <c r="C227" i="3"/>
  <c r="D235" i="3"/>
  <c r="C235" i="3"/>
  <c r="D181" i="3"/>
  <c r="C181" i="3"/>
  <c r="D207" i="3"/>
  <c r="C207" i="3"/>
  <c r="D242" i="3"/>
  <c r="C242" i="3"/>
  <c r="D231" i="3"/>
  <c r="C231" i="3"/>
  <c r="D214" i="3"/>
  <c r="C214" i="3"/>
  <c r="D200" i="3"/>
  <c r="C200" i="3"/>
  <c r="D229" i="3"/>
  <c r="C229" i="3"/>
  <c r="D196" i="3"/>
  <c r="C196" i="3"/>
  <c r="D223" i="3"/>
  <c r="C223" i="3"/>
  <c r="D239" i="3"/>
  <c r="C239" i="3"/>
  <c r="D202" i="3"/>
  <c r="C202" i="3"/>
  <c r="D236" i="3"/>
  <c r="C236" i="3"/>
  <c r="C193" i="3"/>
  <c r="D212" i="3"/>
  <c r="C212" i="3"/>
  <c r="D243" i="3"/>
  <c r="C243" i="3"/>
  <c r="D233" i="3"/>
  <c r="C233" i="3"/>
  <c r="C203" i="3"/>
  <c r="D188" i="3"/>
  <c r="C188" i="3"/>
  <c r="D216" i="3"/>
  <c r="C216" i="3"/>
  <c r="C220" i="3"/>
  <c r="D208" i="3"/>
  <c r="C208" i="3"/>
  <c r="D180" i="3"/>
  <c r="C180" i="3"/>
  <c r="C240" i="3"/>
  <c r="D224" i="3"/>
  <c r="C224" i="3"/>
  <c r="C215" i="3"/>
  <c r="C222" i="3"/>
  <c r="D191" i="3"/>
  <c r="C191" i="3"/>
  <c r="D187" i="3"/>
  <c r="C187" i="3"/>
  <c r="D230" i="3"/>
  <c r="C230" i="3"/>
  <c r="C209" i="3"/>
  <c r="C23" i="3"/>
  <c r="D24" i="3"/>
  <c r="C24" i="3"/>
  <c r="C144" i="3"/>
  <c r="C5" i="3"/>
  <c r="D40" i="3"/>
  <c r="C40" i="3"/>
  <c r="D145" i="3"/>
  <c r="C145" i="3"/>
  <c r="D146" i="3"/>
  <c r="C146" i="3"/>
  <c r="C163" i="3"/>
  <c r="D141" i="3"/>
  <c r="C141" i="3"/>
  <c r="D78" i="3"/>
  <c r="C78" i="3"/>
  <c r="D115" i="3"/>
  <c r="C115" i="3"/>
  <c r="D89" i="3"/>
  <c r="C89" i="3"/>
  <c r="D11" i="3"/>
  <c r="C11" i="3"/>
  <c r="D172" i="3"/>
  <c r="C172" i="3"/>
  <c r="D171" i="3"/>
  <c r="C171" i="3"/>
  <c r="D173" i="3"/>
  <c r="C173" i="3"/>
  <c r="D38" i="3"/>
  <c r="C38" i="3"/>
  <c r="D63" i="3"/>
  <c r="C63" i="3"/>
  <c r="D54" i="3"/>
  <c r="C54" i="3"/>
  <c r="C147" i="3"/>
  <c r="D161" i="3"/>
  <c r="C161" i="3"/>
  <c r="D9" i="3"/>
  <c r="C9" i="3"/>
  <c r="D112" i="3"/>
  <c r="C112" i="3"/>
  <c r="D160" i="3"/>
  <c r="C160" i="3"/>
  <c r="D13" i="3"/>
  <c r="C13" i="3"/>
  <c r="D116" i="3"/>
  <c r="C116" i="3"/>
  <c r="D149" i="3"/>
  <c r="C149" i="3"/>
  <c r="D148" i="3"/>
  <c r="C148" i="3"/>
  <c r="D83" i="3"/>
  <c r="C83" i="3"/>
  <c r="D4" i="3"/>
  <c r="C4" i="3"/>
  <c r="C18" i="3"/>
  <c r="D26" i="3"/>
  <c r="C26" i="3"/>
  <c r="D153" i="3"/>
  <c r="C153" i="3"/>
  <c r="D64" i="3"/>
  <c r="C64" i="3"/>
  <c r="D72" i="3"/>
  <c r="C72" i="3"/>
  <c r="D22" i="3"/>
  <c r="C22" i="3"/>
  <c r="D80" i="3"/>
  <c r="C80" i="3"/>
  <c r="D174" i="3"/>
  <c r="C174" i="3"/>
  <c r="C10" i="3"/>
  <c r="D57" i="3"/>
  <c r="C57" i="3"/>
  <c r="D50" i="3"/>
  <c r="C50" i="3"/>
  <c r="D49" i="3"/>
  <c r="C49" i="3"/>
  <c r="C48" i="3"/>
  <c r="C46" i="3"/>
  <c r="D51" i="3"/>
  <c r="C51" i="3"/>
  <c r="D47" i="3"/>
  <c r="C47" i="3"/>
  <c r="D45" i="3"/>
  <c r="C45" i="3"/>
  <c r="C43" i="3"/>
  <c r="D42" i="3"/>
  <c r="C42" i="3"/>
  <c r="D44" i="3"/>
  <c r="C44" i="3"/>
  <c r="D41" i="3"/>
  <c r="C41" i="3"/>
  <c r="D150" i="3"/>
  <c r="C150" i="3"/>
  <c r="D71" i="3"/>
  <c r="C71" i="3"/>
  <c r="D79" i="3"/>
  <c r="C79" i="3"/>
  <c r="D33" i="3"/>
  <c r="C33" i="3"/>
  <c r="D117" i="3"/>
  <c r="C117" i="3"/>
  <c r="D170" i="3"/>
  <c r="C170" i="3"/>
  <c r="D151" i="3"/>
  <c r="C151" i="3"/>
  <c r="D91" i="3"/>
  <c r="C91" i="3"/>
  <c r="C27" i="3"/>
  <c r="C15" i="3"/>
  <c r="C28" i="3"/>
  <c r="D36" i="3"/>
  <c r="C36" i="3"/>
  <c r="C77" i="3"/>
  <c r="D69" i="3"/>
  <c r="C69" i="3"/>
  <c r="D110" i="3"/>
  <c r="C110" i="3"/>
  <c r="D53" i="3"/>
  <c r="C53" i="3"/>
  <c r="D7" i="3"/>
  <c r="C7" i="3"/>
  <c r="D30" i="3"/>
  <c r="C30" i="3"/>
  <c r="D25" i="3"/>
  <c r="C25" i="3"/>
  <c r="D87" i="3"/>
  <c r="C87" i="3"/>
  <c r="D55" i="3"/>
  <c r="C55" i="3"/>
  <c r="D132" i="3"/>
  <c r="C132" i="3"/>
  <c r="C124" i="3"/>
  <c r="D118" i="3"/>
  <c r="C118" i="3"/>
  <c r="D74" i="3"/>
  <c r="C74" i="3"/>
  <c r="D169" i="3"/>
  <c r="C169" i="3"/>
  <c r="D114" i="3"/>
  <c r="C114" i="3"/>
  <c r="D152" i="3"/>
  <c r="C152" i="3"/>
  <c r="C98" i="3"/>
  <c r="D84" i="3"/>
  <c r="C84" i="3"/>
  <c r="D16" i="3"/>
  <c r="C16" i="3"/>
  <c r="D162" i="3"/>
  <c r="C162" i="3"/>
  <c r="D156" i="3"/>
  <c r="C156" i="3"/>
  <c r="D35" i="3"/>
  <c r="C35" i="3"/>
  <c r="C127" i="3"/>
  <c r="D122" i="3"/>
  <c r="C122" i="3"/>
  <c r="D85" i="3"/>
  <c r="C85" i="3"/>
  <c r="D167" i="3"/>
  <c r="C167" i="3"/>
  <c r="D113" i="3"/>
  <c r="C113" i="3"/>
  <c r="D81" i="3"/>
  <c r="C81" i="3"/>
  <c r="D129" i="3"/>
  <c r="C129" i="3"/>
  <c r="D60" i="3"/>
  <c r="C60" i="3"/>
  <c r="C56" i="3"/>
  <c r="C164" i="3"/>
  <c r="C143" i="3"/>
  <c r="D97" i="3"/>
  <c r="C97" i="3"/>
  <c r="D139" i="3"/>
  <c r="C139" i="3"/>
  <c r="D21" i="3"/>
  <c r="C21" i="3"/>
  <c r="D75" i="3"/>
  <c r="C75" i="3"/>
  <c r="C102" i="3"/>
  <c r="D133" i="3"/>
  <c r="C133" i="3"/>
  <c r="D168" i="3"/>
  <c r="C168" i="3"/>
  <c r="D125" i="3"/>
  <c r="C125" i="3"/>
  <c r="D34" i="3"/>
  <c r="C34" i="3"/>
  <c r="D31" i="3"/>
  <c r="C31" i="3"/>
  <c r="D100" i="3"/>
  <c r="C100" i="3"/>
  <c r="D123" i="3"/>
  <c r="C123" i="3"/>
  <c r="C58" i="3"/>
  <c r="C119" i="3"/>
  <c r="D104" i="3"/>
  <c r="C104" i="3"/>
  <c r="D82" i="3"/>
  <c r="C82" i="3"/>
  <c r="D99" i="3"/>
  <c r="C99" i="3"/>
  <c r="D32" i="3"/>
  <c r="C32" i="3"/>
  <c r="C135" i="3"/>
  <c r="D166" i="3"/>
  <c r="C166" i="3"/>
  <c r="D130" i="3"/>
  <c r="C130" i="3"/>
  <c r="D107" i="3"/>
  <c r="C107" i="3"/>
  <c r="D37" i="3"/>
  <c r="C37" i="3"/>
  <c r="C68" i="3"/>
  <c r="C142" i="3"/>
  <c r="D62" i="3"/>
  <c r="C62" i="3"/>
  <c r="D154" i="3"/>
  <c r="C154" i="3"/>
  <c r="D158" i="3"/>
  <c r="C158" i="3"/>
  <c r="D20" i="3"/>
  <c r="C20" i="3"/>
  <c r="D96" i="3"/>
  <c r="C96" i="3"/>
  <c r="D126" i="3"/>
  <c r="C126" i="3"/>
  <c r="D65" i="3"/>
  <c r="C65" i="3"/>
  <c r="D105" i="3"/>
  <c r="C105" i="3"/>
  <c r="D131" i="3"/>
  <c r="C131" i="3"/>
  <c r="D17" i="3"/>
  <c r="C17" i="3"/>
  <c r="D94" i="3"/>
  <c r="C94" i="3"/>
  <c r="D59" i="3"/>
  <c r="C59" i="3"/>
  <c r="D128" i="3"/>
  <c r="C128" i="3"/>
  <c r="D137" i="3"/>
  <c r="C137" i="3"/>
  <c r="D120" i="3"/>
  <c r="C120" i="3"/>
  <c r="D109" i="3"/>
  <c r="C109" i="3"/>
  <c r="D136" i="3"/>
  <c r="C136" i="3"/>
  <c r="D134" i="3"/>
  <c r="C134" i="3"/>
  <c r="D103" i="3"/>
  <c r="C103" i="3"/>
  <c r="D6" i="3"/>
  <c r="C6" i="3"/>
  <c r="C8" i="3"/>
  <c r="C155" i="3"/>
  <c r="D93" i="3"/>
  <c r="C93" i="3"/>
  <c r="D66" i="3"/>
  <c r="C66" i="3"/>
  <c r="C70" i="3"/>
  <c r="D101" i="3"/>
  <c r="C101" i="3"/>
  <c r="D76" i="3"/>
  <c r="C76" i="3"/>
  <c r="D106" i="3"/>
  <c r="C106" i="3"/>
  <c r="D61" i="3"/>
  <c r="C61" i="3"/>
  <c r="D157" i="3"/>
  <c r="C157" i="3"/>
  <c r="D108" i="3"/>
  <c r="C108" i="3"/>
  <c r="C177" i="3"/>
  <c r="D52" i="3"/>
  <c r="C52" i="3"/>
  <c r="D138" i="3"/>
  <c r="C138" i="3"/>
  <c r="D140" i="3"/>
  <c r="C140" i="3"/>
  <c r="D14" i="3"/>
  <c r="C14" i="3"/>
  <c r="D67" i="3"/>
  <c r="C67" i="3"/>
  <c r="B67" i="3"/>
  <c r="C165" i="3"/>
  <c r="C19" i="3"/>
  <c r="C121" i="3"/>
  <c r="D12" i="3"/>
  <c r="C12" i="3"/>
  <c r="D175" i="3"/>
  <c r="C175" i="3"/>
  <c r="C92" i="3"/>
  <c r="D90" i="3"/>
  <c r="C90" i="3"/>
  <c r="D86" i="3"/>
  <c r="C86" i="3"/>
  <c r="D39" i="3"/>
  <c r="C39" i="3"/>
  <c r="C111" i="3"/>
  <c r="D159" i="3"/>
  <c r="C159" i="3"/>
  <c r="D178" i="3"/>
  <c r="C178" i="3"/>
  <c r="D29" i="3"/>
  <c r="C29" i="3"/>
  <c r="D176" i="3"/>
  <c r="C176" i="3"/>
  <c r="D73" i="3"/>
  <c r="C73" i="3"/>
  <c r="C690" i="2"/>
  <c r="C596" i="2"/>
  <c r="D566" i="2"/>
  <c r="C566" i="2"/>
  <c r="D565" i="2"/>
  <c r="C565" i="2"/>
  <c r="C567" i="2"/>
  <c r="C655" i="2"/>
  <c r="C633" i="2"/>
  <c r="D359" i="2"/>
  <c r="C359" i="2"/>
  <c r="C275" i="2"/>
  <c r="C46" i="2"/>
  <c r="D341" i="2"/>
  <c r="C341" i="2"/>
  <c r="C459" i="2"/>
  <c r="D522" i="2"/>
  <c r="C522" i="2"/>
  <c r="D464" i="2"/>
  <c r="C464" i="2"/>
  <c r="D686" i="2"/>
  <c r="C686" i="2"/>
  <c r="D682" i="2"/>
  <c r="C682" i="2"/>
  <c r="D591" i="2"/>
  <c r="C591" i="2"/>
  <c r="D592" i="2"/>
  <c r="C592" i="2"/>
  <c r="D577" i="2"/>
  <c r="C577" i="2"/>
  <c r="D28" i="2"/>
  <c r="C28" i="2"/>
  <c r="D666" i="2"/>
  <c r="C666" i="2"/>
  <c r="D656" i="2"/>
  <c r="C656" i="2"/>
  <c r="D619" i="2"/>
  <c r="C619" i="2"/>
  <c r="D617" i="2"/>
  <c r="C617" i="2"/>
  <c r="D448" i="2"/>
  <c r="C448" i="2"/>
  <c r="C649" i="2"/>
  <c r="D640" i="2"/>
  <c r="C640" i="2"/>
  <c r="D638" i="2"/>
  <c r="C638" i="2"/>
  <c r="C631" i="2"/>
  <c r="D499" i="2"/>
  <c r="C499" i="2"/>
  <c r="C540" i="2"/>
  <c r="C545" i="2"/>
  <c r="D541" i="2"/>
  <c r="C541" i="2"/>
  <c r="D548" i="2"/>
  <c r="C548" i="2"/>
  <c r="D626" i="2"/>
  <c r="C626" i="2"/>
  <c r="D544" i="2"/>
  <c r="C544" i="2"/>
  <c r="D474" i="2"/>
  <c r="C474" i="2"/>
  <c r="D453" i="2"/>
  <c r="C453" i="2"/>
  <c r="D436" i="2"/>
  <c r="C436" i="2"/>
  <c r="D444" i="2"/>
  <c r="C444" i="2"/>
  <c r="D389" i="2"/>
  <c r="C389" i="2"/>
  <c r="D398" i="2"/>
  <c r="C398" i="2"/>
  <c r="D400" i="2"/>
  <c r="C400" i="2"/>
  <c r="D405" i="2"/>
  <c r="C405" i="2"/>
  <c r="D415" i="2"/>
  <c r="C415" i="2"/>
  <c r="D390" i="2"/>
  <c r="C390" i="2"/>
  <c r="D411" i="2"/>
  <c r="C411" i="2"/>
  <c r="D403" i="2"/>
  <c r="C403" i="2"/>
  <c r="D413" i="2"/>
  <c r="C413" i="2"/>
  <c r="D384" i="2"/>
  <c r="C384" i="2"/>
  <c r="D355" i="2"/>
  <c r="C355" i="2"/>
  <c r="C383" i="2"/>
  <c r="D343" i="2"/>
  <c r="C343" i="2"/>
  <c r="D267" i="2"/>
  <c r="C267" i="2"/>
  <c r="C295" i="2"/>
  <c r="D318" i="2"/>
  <c r="C318" i="2"/>
  <c r="C263" i="2"/>
  <c r="C76" i="2"/>
  <c r="C214" i="2"/>
  <c r="C17" i="2"/>
  <c r="D91" i="2"/>
  <c r="C91" i="2"/>
  <c r="D185" i="2"/>
  <c r="C185" i="2"/>
  <c r="D88" i="2"/>
  <c r="C88" i="2"/>
  <c r="D100" i="2"/>
  <c r="C100" i="2"/>
  <c r="D213" i="2"/>
  <c r="C213" i="2"/>
  <c r="D63" i="2"/>
  <c r="C63" i="2"/>
  <c r="D183" i="2"/>
  <c r="C183" i="2"/>
  <c r="C121" i="2"/>
  <c r="D175" i="2"/>
  <c r="C175" i="2"/>
  <c r="D219" i="2"/>
  <c r="C219" i="2"/>
  <c r="D139" i="2"/>
  <c r="C139" i="2"/>
  <c r="D25" i="2"/>
  <c r="C25" i="2"/>
  <c r="D14" i="2"/>
  <c r="C14" i="2"/>
  <c r="D174" i="2"/>
  <c r="C174" i="2"/>
  <c r="D45" i="2"/>
  <c r="C45" i="2"/>
  <c r="D210" i="2"/>
  <c r="C210" i="2"/>
  <c r="D164" i="2"/>
  <c r="C164" i="2"/>
  <c r="D200" i="2"/>
  <c r="C200" i="2"/>
  <c r="D56" i="2"/>
  <c r="C56" i="2"/>
  <c r="D157" i="2"/>
  <c r="C157" i="2"/>
  <c r="D20" i="2"/>
  <c r="C20" i="2"/>
  <c r="D52" i="2"/>
  <c r="C52" i="2"/>
  <c r="D158" i="2"/>
  <c r="C158" i="2"/>
  <c r="C514" i="2"/>
  <c r="C651" i="2"/>
  <c r="D340" i="2"/>
  <c r="C340" i="2"/>
  <c r="D507" i="2"/>
  <c r="C507" i="2"/>
  <c r="C456" i="2"/>
  <c r="D361" i="2"/>
  <c r="C361" i="2"/>
  <c r="C535" i="2"/>
  <c r="D611" i="2"/>
  <c r="C611" i="2"/>
  <c r="C609" i="2"/>
  <c r="D509" i="2"/>
  <c r="C509" i="2"/>
  <c r="D508" i="2"/>
  <c r="C508" i="2"/>
  <c r="C573" i="2"/>
  <c r="C608" i="2"/>
  <c r="D606" i="2"/>
  <c r="C606" i="2"/>
  <c r="D607" i="2"/>
  <c r="C607" i="2"/>
  <c r="C610" i="2"/>
  <c r="C487" i="2"/>
  <c r="C485" i="2"/>
  <c r="C484" i="2"/>
  <c r="C478" i="2"/>
  <c r="D521" i="2"/>
  <c r="C521" i="2"/>
  <c r="C458" i="2"/>
  <c r="D461" i="2"/>
  <c r="C461" i="2"/>
  <c r="D462" i="2"/>
  <c r="C462" i="2"/>
  <c r="D463" i="2"/>
  <c r="C463" i="2"/>
  <c r="D681" i="2"/>
  <c r="C681" i="2"/>
  <c r="C683" i="2"/>
  <c r="D670" i="2"/>
  <c r="C670" i="2"/>
  <c r="C671" i="2"/>
  <c r="D669" i="2"/>
  <c r="C669" i="2"/>
  <c r="C667" i="2"/>
  <c r="C634" i="2"/>
  <c r="C503" i="2"/>
  <c r="C488" i="2"/>
  <c r="D486" i="2"/>
  <c r="C486" i="2"/>
  <c r="C460" i="2"/>
  <c r="C457" i="2"/>
  <c r="C392" i="2"/>
  <c r="C391" i="2"/>
  <c r="D362" i="2"/>
  <c r="C362" i="2"/>
  <c r="D363" i="2"/>
  <c r="C363" i="2"/>
  <c r="D360" i="2"/>
  <c r="C360" i="2"/>
  <c r="D365" i="2"/>
  <c r="C365" i="2"/>
  <c r="C364" i="2"/>
  <c r="C366" i="2"/>
  <c r="C71" i="2"/>
  <c r="C328" i="2"/>
  <c r="C691" i="2"/>
  <c r="D693" i="2"/>
  <c r="C693" i="2"/>
  <c r="C689" i="2"/>
  <c r="D687" i="2"/>
  <c r="C687" i="2"/>
  <c r="D685" i="2"/>
  <c r="C685" i="2"/>
  <c r="D684" i="2"/>
  <c r="C684" i="2"/>
  <c r="D688" i="2"/>
  <c r="C688" i="2"/>
  <c r="C612" i="2"/>
  <c r="D595" i="2"/>
  <c r="C595" i="2"/>
  <c r="D598" i="2"/>
  <c r="C598" i="2"/>
  <c r="D601" i="2"/>
  <c r="C601" i="2"/>
  <c r="D599" i="2"/>
  <c r="C599" i="2"/>
  <c r="C600" i="2"/>
  <c r="D613" i="2"/>
  <c r="C613" i="2"/>
  <c r="D287" i="2"/>
  <c r="C287" i="2"/>
  <c r="C678" i="2"/>
  <c r="D288" i="2"/>
  <c r="C288" i="2"/>
  <c r="D312" i="2"/>
  <c r="C312" i="2"/>
  <c r="C679" i="2"/>
  <c r="C306" i="2"/>
  <c r="D677" i="2"/>
  <c r="C677" i="2"/>
  <c r="D276" i="2"/>
  <c r="C276" i="2"/>
  <c r="D605" i="2"/>
  <c r="C605" i="2"/>
  <c r="C680" i="2"/>
  <c r="C676" i="2"/>
  <c r="C673" i="2"/>
  <c r="D675" i="2"/>
  <c r="C675" i="2"/>
  <c r="D672" i="2"/>
  <c r="C672" i="2"/>
  <c r="D674" i="2"/>
  <c r="C674" i="2"/>
  <c r="C292" i="2"/>
  <c r="D586" i="2"/>
  <c r="C586" i="2"/>
  <c r="C588" i="2"/>
  <c r="D576" i="2"/>
  <c r="C576" i="2"/>
  <c r="D561" i="2"/>
  <c r="C561" i="2"/>
  <c r="C580" i="2"/>
  <c r="D568" i="2"/>
  <c r="C568" i="2"/>
  <c r="C585" i="2"/>
  <c r="C578" i="2"/>
  <c r="C587" i="2"/>
  <c r="C562" i="2"/>
  <c r="C589" i="2"/>
  <c r="C570" i="2"/>
  <c r="C572" i="2"/>
  <c r="C569" i="2"/>
  <c r="C582" i="2"/>
  <c r="C579" i="2"/>
  <c r="C481" i="2"/>
  <c r="C477" i="2"/>
  <c r="D471" i="2"/>
  <c r="C471" i="2"/>
  <c r="C574" i="2"/>
  <c r="C593" i="2"/>
  <c r="C692" i="2"/>
  <c r="C188" i="2"/>
  <c r="D225" i="2"/>
  <c r="C225" i="2"/>
  <c r="C203" i="2"/>
  <c r="D388" i="2"/>
  <c r="C388" i="2"/>
  <c r="D387" i="2"/>
  <c r="C387" i="2"/>
  <c r="D397" i="2"/>
  <c r="C397" i="2"/>
  <c r="D414" i="2"/>
  <c r="C414" i="2"/>
  <c r="C664" i="2"/>
  <c r="C659" i="2"/>
  <c r="D410" i="2"/>
  <c r="C410" i="2"/>
  <c r="C660" i="2"/>
  <c r="C668" i="2"/>
  <c r="D662" i="2"/>
  <c r="C662" i="2"/>
  <c r="C663" i="2"/>
  <c r="D665" i="2"/>
  <c r="C665" i="2"/>
  <c r="D661" i="2"/>
  <c r="C661" i="2"/>
  <c r="D624" i="2"/>
  <c r="C624" i="2"/>
  <c r="D658" i="2"/>
  <c r="C658" i="2"/>
  <c r="D615" i="2"/>
  <c r="C615" i="2"/>
  <c r="C653" i="2"/>
  <c r="D629" i="2"/>
  <c r="C629" i="2"/>
  <c r="C627" i="2"/>
  <c r="C628" i="2"/>
  <c r="C625" i="2"/>
  <c r="D657" i="2"/>
  <c r="C657" i="2"/>
  <c r="C652" i="2"/>
  <c r="D623" i="2"/>
  <c r="C623" i="2"/>
  <c r="D622" i="2"/>
  <c r="C622" i="2"/>
  <c r="C616" i="2"/>
  <c r="D654" i="2"/>
  <c r="C654" i="2"/>
  <c r="C618" i="2"/>
  <c r="D621" i="2"/>
  <c r="C621" i="2"/>
  <c r="C620" i="2"/>
  <c r="C645" i="2"/>
  <c r="D650" i="2"/>
  <c r="C650" i="2"/>
  <c r="D648" i="2"/>
  <c r="C648" i="2"/>
  <c r="D642" i="2"/>
  <c r="C642" i="2"/>
  <c r="D646" i="2"/>
  <c r="C646" i="2"/>
  <c r="D643" i="2"/>
  <c r="C643" i="2"/>
  <c r="C418" i="2"/>
  <c r="D644" i="2"/>
  <c r="C644" i="2"/>
  <c r="D647" i="2"/>
  <c r="C647" i="2"/>
  <c r="D423" i="2"/>
  <c r="C423" i="2"/>
  <c r="C527" i="2"/>
  <c r="C523" i="2"/>
  <c r="D528" i="2"/>
  <c r="C528" i="2"/>
  <c r="D515" i="2"/>
  <c r="C515" i="2"/>
  <c r="D512" i="2"/>
  <c r="C512" i="2"/>
  <c r="D529" i="2"/>
  <c r="C529" i="2"/>
  <c r="D526" i="2"/>
  <c r="C526" i="2"/>
  <c r="C518" i="2"/>
  <c r="D639" i="2"/>
  <c r="C639" i="2"/>
  <c r="C635" i="2"/>
  <c r="C636" i="2"/>
  <c r="D506" i="2"/>
  <c r="C506" i="2"/>
  <c r="C637" i="2"/>
  <c r="C632" i="2"/>
  <c r="D641" i="2"/>
  <c r="C641" i="2"/>
  <c r="D630" i="2"/>
  <c r="C630" i="2"/>
  <c r="C538" i="2"/>
  <c r="C537" i="2"/>
  <c r="D555" i="2"/>
  <c r="C555" i="2"/>
  <c r="C543" i="2"/>
  <c r="D550" i="2"/>
  <c r="C550" i="2"/>
  <c r="C554" i="2"/>
  <c r="C552" i="2"/>
  <c r="C560" i="2"/>
  <c r="D547" i="2"/>
  <c r="C547" i="2"/>
  <c r="C539" i="2"/>
  <c r="D557" i="2"/>
  <c r="C557" i="2"/>
  <c r="D542" i="2"/>
  <c r="C542" i="2"/>
  <c r="C534" i="2"/>
  <c r="D546" i="2"/>
  <c r="C546" i="2"/>
  <c r="D553" i="2"/>
  <c r="C553" i="2"/>
  <c r="C694" i="2"/>
  <c r="D614" i="2"/>
  <c r="C614" i="2"/>
  <c r="C603" i="2"/>
  <c r="D597" i="2"/>
  <c r="C597" i="2"/>
  <c r="D604" i="2"/>
  <c r="C604" i="2"/>
  <c r="D602" i="2"/>
  <c r="C602" i="2"/>
  <c r="D571" i="2"/>
  <c r="C571" i="2"/>
  <c r="C564" i="2"/>
  <c r="C594" i="2"/>
  <c r="D563" i="2"/>
  <c r="C563" i="2"/>
  <c r="D581" i="2"/>
  <c r="C581" i="2"/>
  <c r="D590" i="2"/>
  <c r="C590" i="2"/>
  <c r="D583" i="2"/>
  <c r="C583" i="2"/>
  <c r="D584" i="2"/>
  <c r="C584" i="2"/>
  <c r="C575" i="2"/>
  <c r="C551" i="2"/>
  <c r="D558" i="2"/>
  <c r="C558" i="2"/>
  <c r="C556" i="2"/>
  <c r="D549" i="2"/>
  <c r="C549" i="2"/>
  <c r="C536" i="2"/>
  <c r="D559" i="2"/>
  <c r="C559" i="2"/>
  <c r="D532" i="2"/>
  <c r="C532" i="2"/>
  <c r="D516" i="2"/>
  <c r="C516" i="2"/>
  <c r="C511" i="2"/>
  <c r="C513" i="2"/>
  <c r="C520" i="2"/>
  <c r="D517" i="2"/>
  <c r="C517" i="2"/>
  <c r="D530" i="2"/>
  <c r="C530" i="2"/>
  <c r="C533" i="2"/>
  <c r="D531" i="2"/>
  <c r="C531" i="2"/>
  <c r="D525" i="2"/>
  <c r="C525" i="2"/>
  <c r="C524" i="2"/>
  <c r="D519" i="2"/>
  <c r="C519" i="2"/>
  <c r="C497" i="2"/>
  <c r="C500" i="2"/>
  <c r="C498" i="2"/>
  <c r="C501" i="2"/>
  <c r="C495" i="2"/>
  <c r="D502" i="2"/>
  <c r="C502" i="2"/>
  <c r="C505" i="2"/>
  <c r="D504" i="2"/>
  <c r="C504" i="2"/>
  <c r="D496" i="2"/>
  <c r="C496" i="2"/>
  <c r="C510" i="2"/>
  <c r="C483" i="2"/>
  <c r="D494" i="2"/>
  <c r="C494" i="2"/>
  <c r="C476" i="2"/>
  <c r="D480" i="2"/>
  <c r="C480" i="2"/>
  <c r="C490" i="2"/>
  <c r="D479" i="2"/>
  <c r="C479" i="2"/>
  <c r="D493" i="2"/>
  <c r="C493" i="2"/>
  <c r="C475" i="2"/>
  <c r="D489" i="2"/>
  <c r="C489" i="2"/>
  <c r="C473" i="2"/>
  <c r="D492" i="2"/>
  <c r="C492" i="2"/>
  <c r="D491" i="2"/>
  <c r="C491" i="2"/>
  <c r="D482" i="2"/>
  <c r="C482" i="2"/>
  <c r="D469" i="2"/>
  <c r="C469" i="2"/>
  <c r="D465" i="2"/>
  <c r="C465" i="2"/>
  <c r="D472" i="2"/>
  <c r="C472" i="2"/>
  <c r="D468" i="2"/>
  <c r="C468" i="2"/>
  <c r="C470" i="2"/>
  <c r="C467" i="2"/>
  <c r="C454" i="2"/>
  <c r="C452" i="2"/>
  <c r="C455" i="2"/>
  <c r="C466" i="2"/>
  <c r="D431" i="2"/>
  <c r="C431" i="2"/>
  <c r="C437" i="2"/>
  <c r="C419" i="2"/>
  <c r="C424" i="2"/>
  <c r="D432" i="2"/>
  <c r="C432" i="2"/>
  <c r="D416" i="2"/>
  <c r="C416" i="2"/>
  <c r="C439" i="2"/>
  <c r="C425" i="2"/>
  <c r="D430" i="2"/>
  <c r="C430" i="2"/>
  <c r="D421" i="2"/>
  <c r="C421" i="2"/>
  <c r="C438" i="2"/>
  <c r="C426" i="2"/>
  <c r="D449" i="2"/>
  <c r="C449" i="2"/>
  <c r="D434" i="2"/>
  <c r="C434" i="2"/>
  <c r="D440" i="2"/>
  <c r="C440" i="2"/>
  <c r="C427" i="2"/>
  <c r="C441" i="2"/>
  <c r="C450" i="2"/>
  <c r="C442" i="2"/>
  <c r="C422" i="2"/>
  <c r="D417" i="2"/>
  <c r="C417" i="2"/>
  <c r="C446" i="2"/>
  <c r="D435" i="2"/>
  <c r="C435" i="2"/>
  <c r="D433" i="2"/>
  <c r="C433" i="2"/>
  <c r="C429" i="2"/>
  <c r="D428" i="2"/>
  <c r="C428" i="2"/>
  <c r="D447" i="2"/>
  <c r="C447" i="2"/>
  <c r="C445" i="2"/>
  <c r="D443" i="2"/>
  <c r="C443" i="2"/>
  <c r="D420" i="2"/>
  <c r="C420" i="2"/>
  <c r="C451" i="2"/>
  <c r="D409" i="2"/>
  <c r="C409" i="2"/>
  <c r="D402" i="2"/>
  <c r="C402" i="2"/>
  <c r="D406" i="2"/>
  <c r="C406" i="2"/>
  <c r="C408" i="2"/>
  <c r="C412" i="2"/>
  <c r="C396" i="2"/>
  <c r="D395" i="2"/>
  <c r="C395" i="2"/>
  <c r="C394" i="2"/>
  <c r="D404" i="2"/>
  <c r="C404" i="2"/>
  <c r="D399" i="2"/>
  <c r="C399" i="2"/>
  <c r="C401" i="2"/>
  <c r="C393" i="2"/>
  <c r="C386" i="2"/>
  <c r="C407" i="2"/>
  <c r="D378" i="2"/>
  <c r="C378" i="2"/>
  <c r="D357" i="2"/>
  <c r="C357" i="2"/>
  <c r="C377" i="2"/>
  <c r="D373" i="2"/>
  <c r="C373" i="2"/>
  <c r="D356" i="2"/>
  <c r="C356" i="2"/>
  <c r="D381" i="2"/>
  <c r="C381" i="2"/>
  <c r="D358" i="2"/>
  <c r="C358" i="2"/>
  <c r="D374" i="2"/>
  <c r="C374" i="2"/>
  <c r="D379" i="2"/>
  <c r="C379" i="2"/>
  <c r="C371" i="2"/>
  <c r="C369" i="2"/>
  <c r="C368" i="2"/>
  <c r="C367" i="2"/>
  <c r="C382" i="2"/>
  <c r="C372" i="2"/>
  <c r="D380" i="2"/>
  <c r="C380" i="2"/>
  <c r="D376" i="2"/>
  <c r="C376" i="2"/>
  <c r="C354" i="2"/>
  <c r="C375" i="2"/>
  <c r="C370" i="2"/>
  <c r="D385" i="2"/>
  <c r="C385" i="2"/>
  <c r="D347" i="2"/>
  <c r="C347" i="2"/>
  <c r="D336" i="2"/>
  <c r="C336" i="2"/>
  <c r="C332" i="2"/>
  <c r="D330" i="2"/>
  <c r="C330" i="2"/>
  <c r="D342" i="2"/>
  <c r="C342" i="2"/>
  <c r="D352" i="2"/>
  <c r="C352" i="2"/>
  <c r="D325" i="2"/>
  <c r="C325" i="2"/>
  <c r="C339" i="2"/>
  <c r="D349" i="2"/>
  <c r="C349" i="2"/>
  <c r="C346" i="2"/>
  <c r="D321" i="2"/>
  <c r="C321" i="2"/>
  <c r="C350" i="2"/>
  <c r="C322" i="2"/>
  <c r="C335" i="2"/>
  <c r="D329" i="2"/>
  <c r="C329" i="2"/>
  <c r="C324" i="2"/>
  <c r="D351" i="2"/>
  <c r="C351" i="2"/>
  <c r="C333" i="2"/>
  <c r="C344" i="2"/>
  <c r="C345" i="2"/>
  <c r="C323" i="2"/>
  <c r="C326" i="2"/>
  <c r="C353" i="2"/>
  <c r="D334" i="2"/>
  <c r="C334" i="2"/>
  <c r="D348" i="2"/>
  <c r="C348" i="2"/>
  <c r="D337" i="2"/>
  <c r="C337" i="2"/>
  <c r="D338" i="2"/>
  <c r="C338" i="2"/>
  <c r="D331" i="2"/>
  <c r="C331" i="2"/>
  <c r="D327" i="2"/>
  <c r="C327" i="2"/>
  <c r="D283" i="2"/>
  <c r="C283" i="2"/>
  <c r="D286" i="2"/>
  <c r="C286" i="2"/>
  <c r="C281" i="2"/>
  <c r="C284" i="2"/>
  <c r="C314" i="2"/>
  <c r="C308" i="2"/>
  <c r="D294" i="2"/>
  <c r="C294" i="2"/>
  <c r="D320" i="2"/>
  <c r="C320" i="2"/>
  <c r="D274" i="2"/>
  <c r="C274" i="2"/>
  <c r="C300" i="2"/>
  <c r="D261" i="2"/>
  <c r="C261" i="2"/>
  <c r="C307" i="2"/>
  <c r="D309" i="2"/>
  <c r="C309" i="2"/>
  <c r="D269" i="2"/>
  <c r="C269" i="2"/>
  <c r="C315" i="2"/>
  <c r="C305" i="2"/>
  <c r="D313" i="2"/>
  <c r="C313" i="2"/>
  <c r="D262" i="2"/>
  <c r="C262" i="2"/>
  <c r="C296" i="2"/>
  <c r="C271" i="2"/>
  <c r="C264" i="2"/>
  <c r="C293" i="2"/>
  <c r="C316" i="2"/>
  <c r="C298" i="2"/>
  <c r="C299" i="2"/>
  <c r="D291" i="2"/>
  <c r="C291" i="2"/>
  <c r="D272" i="2"/>
  <c r="C272" i="2"/>
  <c r="D273" i="2"/>
  <c r="C273" i="2"/>
  <c r="C277" i="2"/>
  <c r="C260" i="2"/>
  <c r="C279" i="2"/>
  <c r="D319" i="2"/>
  <c r="C319" i="2"/>
  <c r="D311" i="2"/>
  <c r="C311" i="2"/>
  <c r="C270" i="2"/>
  <c r="C278" i="2"/>
  <c r="C303" i="2"/>
  <c r="C280" i="2"/>
  <c r="C297" i="2"/>
  <c r="C290" i="2"/>
  <c r="D301" i="2"/>
  <c r="C301" i="2"/>
  <c r="D282" i="2"/>
  <c r="C282" i="2"/>
  <c r="D310" i="2"/>
  <c r="C310" i="2"/>
  <c r="C317" i="2"/>
  <c r="D265" i="2"/>
  <c r="C265" i="2"/>
  <c r="D304" i="2"/>
  <c r="C304" i="2"/>
  <c r="D285" i="2"/>
  <c r="C285" i="2"/>
  <c r="C268" i="2"/>
  <c r="D302" i="2"/>
  <c r="C302" i="2"/>
  <c r="C289" i="2"/>
  <c r="D266" i="2"/>
  <c r="C266" i="2"/>
  <c r="D86" i="2"/>
  <c r="C86" i="2"/>
  <c r="D151" i="2"/>
  <c r="C151" i="2"/>
  <c r="C51" i="2"/>
  <c r="C231" i="2"/>
  <c r="D32" i="2"/>
  <c r="C32" i="2"/>
  <c r="C217" i="2"/>
  <c r="D81" i="2"/>
  <c r="C81" i="2"/>
  <c r="C130" i="2"/>
  <c r="D92" i="2"/>
  <c r="C92" i="2"/>
  <c r="C177" i="2"/>
  <c r="D54" i="2"/>
  <c r="C54" i="2"/>
  <c r="D116" i="2"/>
  <c r="C116" i="2"/>
  <c r="D60" i="2"/>
  <c r="C60" i="2"/>
  <c r="C5" i="2"/>
  <c r="D47" i="2"/>
  <c r="C47" i="2"/>
  <c r="C41" i="2"/>
  <c r="C142" i="2"/>
  <c r="D224" i="2"/>
  <c r="C224" i="2"/>
  <c r="D43" i="2"/>
  <c r="C43" i="2"/>
  <c r="D30" i="2"/>
  <c r="C30" i="2"/>
  <c r="C245" i="2"/>
  <c r="D199" i="2"/>
  <c r="C199" i="2"/>
  <c r="C50" i="2"/>
  <c r="C78" i="2"/>
  <c r="D135" i="2"/>
  <c r="C135" i="2"/>
  <c r="C90" i="2"/>
  <c r="D62" i="2"/>
  <c r="C62" i="2"/>
  <c r="D39" i="2"/>
  <c r="C39" i="2"/>
  <c r="C94" i="2"/>
  <c r="D64" i="2"/>
  <c r="C64" i="2"/>
  <c r="D138" i="2"/>
  <c r="C138" i="2"/>
  <c r="C208" i="2"/>
  <c r="D243" i="2"/>
  <c r="C243" i="2"/>
  <c r="C117" i="2"/>
  <c r="C215" i="2"/>
  <c r="C140" i="2"/>
  <c r="C212" i="2"/>
  <c r="C189" i="2"/>
  <c r="D146" i="2"/>
  <c r="C146" i="2"/>
  <c r="D120" i="2"/>
  <c r="C120" i="2"/>
  <c r="C226" i="2"/>
  <c r="D99" i="2"/>
  <c r="C99" i="2"/>
  <c r="D150" i="2"/>
  <c r="C150" i="2"/>
  <c r="C68" i="2"/>
  <c r="C74" i="2"/>
  <c r="D26" i="2"/>
  <c r="C26" i="2"/>
  <c r="D58" i="2"/>
  <c r="C58" i="2"/>
  <c r="D201" i="2"/>
  <c r="C201" i="2"/>
  <c r="C153" i="2"/>
  <c r="C115" i="2"/>
  <c r="D229" i="2"/>
  <c r="C229" i="2"/>
  <c r="D87" i="2"/>
  <c r="C87" i="2"/>
  <c r="D244" i="2"/>
  <c r="C244" i="2"/>
  <c r="C48" i="2"/>
  <c r="D238" i="2"/>
  <c r="C238" i="2"/>
  <c r="D160" i="2"/>
  <c r="C160" i="2"/>
  <c r="C73" i="2"/>
  <c r="D196" i="2"/>
  <c r="C196" i="2"/>
  <c r="D166" i="2"/>
  <c r="C166" i="2"/>
  <c r="D37" i="2"/>
  <c r="C37" i="2"/>
  <c r="D209" i="2"/>
  <c r="C209" i="2"/>
  <c r="D163" i="2"/>
  <c r="C163" i="2"/>
  <c r="D29" i="2"/>
  <c r="C29" i="2"/>
  <c r="D57" i="2"/>
  <c r="C57" i="2"/>
  <c r="C75" i="2"/>
  <c r="D193" i="2"/>
  <c r="C193" i="2"/>
  <c r="D236" i="2"/>
  <c r="C236" i="2"/>
  <c r="D113" i="2"/>
  <c r="C113" i="2"/>
  <c r="D108" i="2"/>
  <c r="C108" i="2"/>
  <c r="D191" i="2"/>
  <c r="C191" i="2"/>
  <c r="D161" i="2"/>
  <c r="C161" i="2"/>
  <c r="D230" i="2"/>
  <c r="C230" i="2"/>
  <c r="D13" i="2"/>
  <c r="C13" i="2"/>
  <c r="D66" i="2"/>
  <c r="C66" i="2"/>
  <c r="C252" i="2"/>
  <c r="D80" i="2"/>
  <c r="C80" i="2"/>
  <c r="D18" i="2"/>
  <c r="C18" i="2"/>
  <c r="D206" i="2"/>
  <c r="C206" i="2"/>
  <c r="D16" i="2"/>
  <c r="C16" i="2"/>
  <c r="D24" i="2"/>
  <c r="C24" i="2"/>
  <c r="D223" i="2"/>
  <c r="C223" i="2"/>
  <c r="D112" i="2"/>
  <c r="C112" i="2"/>
  <c r="D168" i="2"/>
  <c r="C168" i="2"/>
  <c r="C259" i="2"/>
  <c r="C19" i="2"/>
  <c r="D89" i="2"/>
  <c r="C89" i="2"/>
  <c r="C248" i="2"/>
  <c r="C85" i="2"/>
  <c r="C42" i="2"/>
  <c r="D137" i="2"/>
  <c r="C137" i="2"/>
  <c r="C6" i="2"/>
  <c r="C169" i="2"/>
  <c r="C202" i="2"/>
  <c r="C159" i="2"/>
  <c r="C258" i="2"/>
  <c r="D194" i="2"/>
  <c r="C194" i="2"/>
  <c r="C126" i="2"/>
  <c r="D129" i="2"/>
  <c r="C129" i="2"/>
  <c r="D104" i="2"/>
  <c r="C104" i="2"/>
  <c r="D36" i="2"/>
  <c r="C36" i="2"/>
  <c r="D15" i="2"/>
  <c r="C15" i="2"/>
  <c r="C165" i="2"/>
  <c r="D55" i="2"/>
  <c r="C55" i="2"/>
  <c r="D132" i="2"/>
  <c r="C132" i="2"/>
  <c r="D253" i="2"/>
  <c r="C253" i="2"/>
  <c r="C4" i="2"/>
  <c r="C171" i="2"/>
  <c r="D205" i="2"/>
  <c r="C205" i="2"/>
  <c r="D237" i="2"/>
  <c r="C237" i="2"/>
  <c r="C167" i="2"/>
  <c r="C127" i="2"/>
  <c r="C97" i="2"/>
  <c r="D31" i="2"/>
  <c r="C31" i="2"/>
  <c r="C172" i="2"/>
  <c r="D93" i="2"/>
  <c r="C93" i="2"/>
  <c r="C103" i="2"/>
  <c r="D21" i="2"/>
  <c r="C21" i="2"/>
  <c r="C227" i="2"/>
  <c r="D235" i="2"/>
  <c r="C235" i="2"/>
  <c r="D33" i="2"/>
  <c r="C33" i="2"/>
  <c r="D240" i="2"/>
  <c r="C240" i="2"/>
  <c r="D186" i="2"/>
  <c r="C186" i="2"/>
  <c r="D195" i="2"/>
  <c r="C195" i="2"/>
  <c r="D154" i="2"/>
  <c r="C154" i="2"/>
  <c r="D128" i="2"/>
  <c r="C128" i="2"/>
  <c r="C27" i="2"/>
  <c r="C12" i="2"/>
  <c r="C123" i="2"/>
  <c r="C234" i="2"/>
  <c r="D173" i="2"/>
  <c r="C173" i="2"/>
  <c r="C44" i="2"/>
  <c r="C256" i="2"/>
  <c r="D162" i="2"/>
  <c r="C162" i="2"/>
  <c r="C23" i="2"/>
  <c r="C204" i="2"/>
  <c r="C246" i="2"/>
  <c r="D9" i="2"/>
  <c r="C9" i="2"/>
  <c r="C144" i="2"/>
  <c r="C38" i="2"/>
  <c r="C170" i="2"/>
  <c r="C118" i="2"/>
  <c r="D61" i="2"/>
  <c r="C61" i="2"/>
  <c r="D257" i="2"/>
  <c r="C257" i="2"/>
  <c r="C133" i="2"/>
  <c r="C107" i="2"/>
  <c r="C84" i="2"/>
  <c r="C72" i="2"/>
  <c r="C207" i="2"/>
  <c r="C218" i="2"/>
  <c r="D222" i="2"/>
  <c r="C222" i="2"/>
  <c r="C114" i="2"/>
  <c r="C53" i="2"/>
  <c r="C77" i="2"/>
  <c r="C67" i="2"/>
  <c r="C141" i="2"/>
  <c r="D70" i="2"/>
  <c r="C70" i="2"/>
  <c r="C220" i="2"/>
  <c r="C221" i="2"/>
  <c r="C111" i="2"/>
  <c r="C79" i="2"/>
  <c r="C95" i="2"/>
  <c r="C228" i="2"/>
  <c r="D98" i="2"/>
  <c r="C98" i="2"/>
  <c r="C192" i="2"/>
  <c r="C83" i="2"/>
  <c r="D152" i="2"/>
  <c r="C152" i="2"/>
  <c r="C134" i="2"/>
  <c r="D250" i="2"/>
  <c r="C250" i="2"/>
  <c r="D35" i="2"/>
  <c r="C35" i="2"/>
  <c r="D82" i="2"/>
  <c r="C82" i="2"/>
  <c r="D105" i="2"/>
  <c r="C105" i="2"/>
  <c r="D49" i="2"/>
  <c r="C49" i="2"/>
  <c r="D190" i="2"/>
  <c r="C190" i="2"/>
  <c r="C255" i="2"/>
  <c r="D101" i="2"/>
  <c r="C101" i="2"/>
  <c r="D233" i="2"/>
  <c r="C233" i="2"/>
  <c r="C247" i="2"/>
  <c r="D232" i="2"/>
  <c r="C232" i="2"/>
  <c r="C136" i="2"/>
  <c r="D216" i="2"/>
  <c r="C216" i="2"/>
  <c r="D147" i="2"/>
  <c r="C147" i="2"/>
  <c r="D181" i="2"/>
  <c r="C181" i="2"/>
  <c r="D34" i="2"/>
  <c r="C34" i="2"/>
  <c r="D198" i="2"/>
  <c r="C198" i="2"/>
  <c r="D40" i="2"/>
  <c r="C40" i="2"/>
  <c r="D102" i="2"/>
  <c r="C102" i="2"/>
  <c r="D180" i="2"/>
  <c r="C180" i="2"/>
  <c r="D211" i="2"/>
  <c r="C211" i="2"/>
  <c r="C7" i="2"/>
  <c r="D59" i="2"/>
  <c r="C59" i="2"/>
  <c r="D145" i="2"/>
  <c r="C145" i="2"/>
  <c r="C8" i="2"/>
  <c r="C65" i="2"/>
  <c r="D106" i="2"/>
  <c r="C106" i="2"/>
  <c r="D109" i="2"/>
  <c r="C109" i="2"/>
  <c r="D119" i="2"/>
  <c r="C119" i="2"/>
  <c r="D178" i="2"/>
  <c r="C178" i="2"/>
  <c r="D96" i="2"/>
  <c r="C96" i="2"/>
  <c r="D122" i="2"/>
  <c r="C122" i="2"/>
  <c r="D131" i="2"/>
  <c r="C131" i="2"/>
  <c r="D143" i="2"/>
  <c r="C143" i="2"/>
  <c r="D10" i="2"/>
  <c r="C10" i="2"/>
  <c r="D249" i="2"/>
  <c r="C249" i="2"/>
  <c r="D125" i="2"/>
  <c r="C125" i="2"/>
  <c r="D22" i="2"/>
  <c r="C22" i="2"/>
  <c r="D254" i="2"/>
  <c r="C254" i="2"/>
  <c r="D241" i="2"/>
  <c r="C241" i="2"/>
  <c r="D11" i="2"/>
  <c r="C11" i="2"/>
  <c r="D251" i="2"/>
  <c r="C251" i="2"/>
  <c r="D156" i="2"/>
  <c r="C156" i="2"/>
  <c r="D176" i="2"/>
  <c r="C176" i="2"/>
  <c r="D184" i="2"/>
  <c r="C184" i="2"/>
  <c r="D242" i="2"/>
  <c r="C242" i="2"/>
  <c r="D110" i="2"/>
  <c r="C110" i="2"/>
  <c r="C179" i="2"/>
  <c r="D182" i="2"/>
  <c r="C182" i="2"/>
  <c r="D155" i="2"/>
  <c r="C155" i="2"/>
  <c r="D187" i="2"/>
  <c r="C187" i="2"/>
  <c r="D124" i="2"/>
  <c r="C124" i="2"/>
  <c r="D239" i="2"/>
  <c r="C239" i="2"/>
  <c r="D197" i="2"/>
  <c r="C197" i="2"/>
  <c r="D69" i="2"/>
  <c r="C69" i="2"/>
  <c r="D148" i="2"/>
  <c r="C148" i="2"/>
  <c r="D149" i="2"/>
  <c r="C149" i="2"/>
</calcChain>
</file>

<file path=xl/sharedStrings.xml><?xml version="1.0" encoding="utf-8"?>
<sst xmlns="http://schemas.openxmlformats.org/spreadsheetml/2006/main" count="1740" uniqueCount="1692">
  <si>
    <t>名称</t>
  </si>
  <si>
    <t>郵便番号</t>
  </si>
  <si>
    <t>住所</t>
  </si>
  <si>
    <t>指定有効終了日</t>
  </si>
  <si>
    <t>尾上整形外科医院</t>
  </si>
  <si>
    <t>三宅医院</t>
  </si>
  <si>
    <t>山田医院</t>
  </si>
  <si>
    <t>佐藤医院</t>
  </si>
  <si>
    <t>渡辺医院</t>
  </si>
  <si>
    <t>木村医院</t>
  </si>
  <si>
    <t>みやもと整形外科</t>
  </si>
  <si>
    <t>倉敷市茶屋町７２８</t>
  </si>
  <si>
    <t>津田眼科医院</t>
  </si>
  <si>
    <t>辻眼科内科</t>
  </si>
  <si>
    <t>倉敷小山耳鼻科・アレルギー科</t>
  </si>
  <si>
    <t>藤野内科循環器科医院</t>
  </si>
  <si>
    <t>山口眼科医院</t>
  </si>
  <si>
    <t>石医院</t>
  </si>
  <si>
    <t>平松眼科医院</t>
  </si>
  <si>
    <t>当真内科医院</t>
  </si>
  <si>
    <t>びとう整形外科内科医院</t>
  </si>
  <si>
    <t>はやし眼科</t>
  </si>
  <si>
    <t>倉敷市八王寺町２０４</t>
  </si>
  <si>
    <t>サンシャイン中村内科クリニック</t>
  </si>
  <si>
    <t>やまだ内科クリニック</t>
  </si>
  <si>
    <t>兵耳鼻咽喉科医院</t>
  </si>
  <si>
    <t>八王寺内科クリニック</t>
  </si>
  <si>
    <t>どうみょう医院</t>
  </si>
  <si>
    <t>吉澤医院</t>
  </si>
  <si>
    <t>荒木クリニック</t>
  </si>
  <si>
    <t>山田整形外科</t>
  </si>
  <si>
    <t>わきや内科クリニック</t>
  </si>
  <si>
    <t>井上クリニック</t>
  </si>
  <si>
    <t>善家循環器科・内科医院</t>
  </si>
  <si>
    <t>よこえ眼科</t>
  </si>
  <si>
    <t>安住クリニック</t>
  </si>
  <si>
    <t>田宮眼科医院</t>
  </si>
  <si>
    <t>たけだ小児科</t>
  </si>
  <si>
    <t>すばるクリニック</t>
  </si>
  <si>
    <t>児島マリンクリニック</t>
  </si>
  <si>
    <t>はまむらクリニック</t>
  </si>
  <si>
    <t>腎・泌尿器科くにとみ医院</t>
  </si>
  <si>
    <t>佐藤皮膚科</t>
  </si>
  <si>
    <t>佐藤眼科</t>
  </si>
  <si>
    <t>倉敷ウエストサイドクリニック</t>
  </si>
  <si>
    <t>倉敷市西阿知町新田６</t>
  </si>
  <si>
    <t>あさはら眼科</t>
  </si>
  <si>
    <t>倉敷市新倉敷駅前３丁目１３８番地</t>
  </si>
  <si>
    <t>茶屋町駅前クリニック</t>
  </si>
  <si>
    <t>きたの内科クリニック</t>
  </si>
  <si>
    <t>浅野クリニック</t>
  </si>
  <si>
    <t>倉敷市幸町８番２７号</t>
  </si>
  <si>
    <t>まつやま内科クリニック</t>
  </si>
  <si>
    <t>はやし内科</t>
  </si>
  <si>
    <t>坂本整形外科クリニック</t>
  </si>
  <si>
    <t>おかもと内科クリニック</t>
  </si>
  <si>
    <t>ふちもとクリニック</t>
  </si>
  <si>
    <t>おおしも内科</t>
  </si>
  <si>
    <t>原内科クリニック</t>
  </si>
  <si>
    <t>茶屋町在宅診療所</t>
  </si>
  <si>
    <t>三浦皮膚科医院</t>
  </si>
  <si>
    <t>たち耳鼻咽喉科</t>
  </si>
  <si>
    <t>倉敷市沖新町２の７　ピアチェーレ１階</t>
  </si>
  <si>
    <t>森整形外科リハビリクリニック</t>
  </si>
  <si>
    <t>山本内科</t>
  </si>
  <si>
    <t>倉敷市四十瀬２５９</t>
  </si>
  <si>
    <t>倉敷市帯高１６４</t>
  </si>
  <si>
    <t>もりや耳鼻咽喉科</t>
  </si>
  <si>
    <t>斎藤医院</t>
  </si>
  <si>
    <t>渡部医院</t>
  </si>
  <si>
    <t>ふくしまクリニック</t>
  </si>
  <si>
    <t>かねだ内科クリニック</t>
  </si>
  <si>
    <t>佐藤胃腸外科　倉敷駅前内視鏡クリニック</t>
  </si>
  <si>
    <t>くらしきなかしま糖尿病内科クリニック</t>
  </si>
  <si>
    <t>太田郁子ウィメンズクリニック</t>
  </si>
  <si>
    <t>よこやま内科・循環器内科</t>
  </si>
  <si>
    <t>多田クリニック</t>
  </si>
  <si>
    <t>倉敷市帯高531</t>
  </si>
  <si>
    <t>つばめクリニック</t>
  </si>
  <si>
    <t>倉敷脳神経内科クリニック</t>
  </si>
  <si>
    <t>倉敷市石見町４丁目６番　フィロソフィアビル１階</t>
  </si>
  <si>
    <t>藤沢脳神経外科医院</t>
  </si>
  <si>
    <t>倉敷市玉島勇崎５８７</t>
  </si>
  <si>
    <t>ごとうだ内科・内視鏡クリニック</t>
  </si>
  <si>
    <t>むしあけ在宅ケアクリニック</t>
  </si>
  <si>
    <t>倉敷市東富井９０１番地８</t>
  </si>
  <si>
    <t>児島内科・ハートクリニック</t>
  </si>
  <si>
    <t>倉敷市児島駅前２丁目２９番</t>
  </si>
  <si>
    <t>倉敷中央病院</t>
  </si>
  <si>
    <t>倉敷市美和１丁目１番１号</t>
  </si>
  <si>
    <t>しげい病院</t>
  </si>
  <si>
    <t>倉敷市幸町２番３０号</t>
  </si>
  <si>
    <t>水島中央病院</t>
  </si>
  <si>
    <t>倉敷市水島青葉町４番５号</t>
  </si>
  <si>
    <t>水島第一病院</t>
  </si>
  <si>
    <t>倉敷市神田２丁目３番３３号</t>
  </si>
  <si>
    <t>倉敷シティ病院</t>
  </si>
  <si>
    <t>玉島病院</t>
  </si>
  <si>
    <t>倉敷市玉島乙島４０３０番地</t>
  </si>
  <si>
    <t>倉敷市玉島乙島４０３０</t>
  </si>
  <si>
    <t>倉敷紀念病院</t>
  </si>
  <si>
    <t>倉敷市中島８３１番地</t>
  </si>
  <si>
    <t>倉敷成人病センター</t>
  </si>
  <si>
    <t>倉敷市白楽町２５０番地</t>
  </si>
  <si>
    <t>川崎医科大学附属病院</t>
  </si>
  <si>
    <t>倉敷市松島５７７番地</t>
  </si>
  <si>
    <t>下津井病院</t>
  </si>
  <si>
    <t>倉敷市下津井吹上２丁目６番４号</t>
  </si>
  <si>
    <t>水島南診療所</t>
  </si>
  <si>
    <t>水島協同病院</t>
  </si>
  <si>
    <t>倉敷市水島南春日町１番１号</t>
  </si>
  <si>
    <t>松田病院</t>
  </si>
  <si>
    <t>倉敷市鶴形１丁目３番１０号</t>
  </si>
  <si>
    <t>倉敷神経科病院</t>
  </si>
  <si>
    <t>倉敷市浅原４００番地</t>
  </si>
  <si>
    <t>倉敷平成病院</t>
  </si>
  <si>
    <t>倉敷市老松町４丁目３番３８号</t>
  </si>
  <si>
    <t>佐藤眼科医院</t>
  </si>
  <si>
    <t>倉敷市児島駅前１丁目８８</t>
  </si>
  <si>
    <t>田嶋内科</t>
  </si>
  <si>
    <t>倉敷市児島柳田町８６２番地</t>
  </si>
  <si>
    <t>渡辺胃腸科外科病院</t>
  </si>
  <si>
    <t>木村耳鼻咽喉科医院</t>
  </si>
  <si>
    <t>新倉敷メディカルスクエア</t>
  </si>
  <si>
    <t>倉敷市玉島１７１９番地</t>
  </si>
  <si>
    <t>西原内科眼科医院</t>
  </si>
  <si>
    <t>倉敷市児島味野上２丁目８番３５号</t>
  </si>
  <si>
    <t>おか内科耳鼻科</t>
  </si>
  <si>
    <t>倉敷市児島稗田町１９５７</t>
  </si>
  <si>
    <t>チクバ外科胃腸科肛門科病院</t>
  </si>
  <si>
    <t>倉敷市林２２１７</t>
  </si>
  <si>
    <t>味野医院</t>
  </si>
  <si>
    <t>山本整形外科医院</t>
  </si>
  <si>
    <t>倉敷市林３４８番地</t>
  </si>
  <si>
    <t>まさよし内科小児科クリニック</t>
  </si>
  <si>
    <t>倉敷市福田町浦田２３９１</t>
  </si>
  <si>
    <t>庵谷医院</t>
  </si>
  <si>
    <t>倉敷市林５１４</t>
  </si>
  <si>
    <t>中塚医院</t>
  </si>
  <si>
    <t>倉敷市西中新田１６</t>
  </si>
  <si>
    <t>小野内科医院</t>
  </si>
  <si>
    <t>倉敷市玉島八島１７５５</t>
  </si>
  <si>
    <t>野上内科医院</t>
  </si>
  <si>
    <t>守安外科・胃腸科・整形外科クリニック</t>
  </si>
  <si>
    <t>倉敷市宮前３８０の６０</t>
  </si>
  <si>
    <t>すわ内科皮ふ科</t>
  </si>
  <si>
    <t>倉敷市八王寺町２８７番地</t>
  </si>
  <si>
    <t>伊木診療所</t>
  </si>
  <si>
    <t>倉敷市亀山７７５番地の１</t>
  </si>
  <si>
    <t>植村眼科医院</t>
  </si>
  <si>
    <t>倉敷市玉島八島７０４</t>
  </si>
  <si>
    <t>たかや内科小児科</t>
  </si>
  <si>
    <t>寺谷眼科医院</t>
  </si>
  <si>
    <t>藤田医院（玉島中央）</t>
  </si>
  <si>
    <t>平田内科医院</t>
  </si>
  <si>
    <t>山下整形外科医院</t>
  </si>
  <si>
    <t>おうじクリニック</t>
  </si>
  <si>
    <t>守谷整形外科医院</t>
  </si>
  <si>
    <t>みやけ内科小児科医院</t>
  </si>
  <si>
    <t>倉敷市福田町古新田８１４</t>
  </si>
  <si>
    <t>井上胃腸科外科医院</t>
  </si>
  <si>
    <t>佐々木内科</t>
  </si>
  <si>
    <t>倉敷市中島２７８番地</t>
  </si>
  <si>
    <t>児島第一診療所</t>
  </si>
  <si>
    <t>沼本医院</t>
  </si>
  <si>
    <t>倉敷市児島田の口１丁目９番１１号</t>
  </si>
  <si>
    <t>江口眼科クリニック</t>
  </si>
  <si>
    <t>古城耳鼻咽喉科医院</t>
  </si>
  <si>
    <t>倉敷市玉島八島７６３番地</t>
  </si>
  <si>
    <t>高橋内科医院</t>
  </si>
  <si>
    <t>倉敷市広江６丁目２番３号</t>
  </si>
  <si>
    <t>新見脳神経外科医院</t>
  </si>
  <si>
    <t>倉敷市児島稗田町１８２２</t>
  </si>
  <si>
    <t>やべ内科クリニック</t>
  </si>
  <si>
    <t>松尾医院</t>
  </si>
  <si>
    <t>西原内科循環器科</t>
  </si>
  <si>
    <t>倉敷市松島１０６５</t>
  </si>
  <si>
    <t>あいあいえん診療所</t>
  </si>
  <si>
    <t>倉敷市串田６６０番地</t>
  </si>
  <si>
    <t>わいわいクリニック</t>
  </si>
  <si>
    <t>武田病院</t>
  </si>
  <si>
    <t>かわたクリニック</t>
  </si>
  <si>
    <t>難波医院</t>
  </si>
  <si>
    <t>倉敷市福田町古新田１４６番地の４</t>
  </si>
  <si>
    <t>石原会古林耳鼻咽喉科医院</t>
  </si>
  <si>
    <t>大滝医院</t>
  </si>
  <si>
    <t>滝沢整形外科</t>
  </si>
  <si>
    <t>千先クリニック</t>
  </si>
  <si>
    <t>倉敷市福島２２４番地</t>
  </si>
  <si>
    <t>藤田医院（児島駅前）</t>
  </si>
  <si>
    <t>渡辺耳鼻咽喉科医院</t>
  </si>
  <si>
    <t>倉敷市吉岡５６５番地２５</t>
  </si>
  <si>
    <t>内科いこいの家</t>
  </si>
  <si>
    <t>倉敷市児島小川９丁目１番４６号</t>
  </si>
  <si>
    <t>眞神耳鼻咽喉科医院</t>
  </si>
  <si>
    <t>倉敷市連島中央５丁目１８番１３号</t>
  </si>
  <si>
    <t>西原眼科</t>
  </si>
  <si>
    <t>倉敷市松島１０６３</t>
  </si>
  <si>
    <t>あさき小児科</t>
  </si>
  <si>
    <t>倉敷市水島南幸町１番９号</t>
  </si>
  <si>
    <t>タナベ内科医院</t>
  </si>
  <si>
    <t>おぎの内科医院</t>
  </si>
  <si>
    <t>倉敷市藤戸町天城７４２番地４</t>
  </si>
  <si>
    <t>倉敷リハビリテーション病院</t>
  </si>
  <si>
    <t>倉敷市笹沖２１</t>
  </si>
  <si>
    <t>ゆのき医院</t>
  </si>
  <si>
    <t>倉敷市新倉敷駅前５丁目７３番地</t>
  </si>
  <si>
    <t>コープくらしき診療所</t>
  </si>
  <si>
    <t>いなだ医院</t>
  </si>
  <si>
    <t>倉敷市玉島柏島９２０番地１０６</t>
  </si>
  <si>
    <t>わに診療所</t>
  </si>
  <si>
    <t>倉敷市新田２５１３番地２６</t>
  </si>
  <si>
    <t>西崎内科医院</t>
  </si>
  <si>
    <t>柴田病院</t>
  </si>
  <si>
    <t>三谷原内科医院</t>
  </si>
  <si>
    <t>イマイクリニック</t>
  </si>
  <si>
    <t>いたのクリニック</t>
  </si>
  <si>
    <t>松香内科医院</t>
  </si>
  <si>
    <t>稲垣医院</t>
  </si>
  <si>
    <t>倉敷中央病院リバーサイド</t>
  </si>
  <si>
    <t>吉田内科クリニック</t>
  </si>
  <si>
    <t>倉敷市新田２７５７</t>
  </si>
  <si>
    <t>倉敷北病院</t>
  </si>
  <si>
    <t>池内整形外科</t>
  </si>
  <si>
    <t>村山クリニック</t>
  </si>
  <si>
    <t>中洲内科</t>
  </si>
  <si>
    <t>藤井ハートクリニック</t>
  </si>
  <si>
    <t>佐藤整形外科</t>
  </si>
  <si>
    <t>耳鼻咽喉科　秋定クリニック</t>
  </si>
  <si>
    <t>安田皮フ科クリニック</t>
  </si>
  <si>
    <t>ふじた医院</t>
  </si>
  <si>
    <t>倉敷成人病クリニック</t>
  </si>
  <si>
    <t>倉敷市白楽町２５０番地１</t>
  </si>
  <si>
    <t>かわはら外科整形外科クリニック</t>
  </si>
  <si>
    <t>うちだ眼科医院</t>
  </si>
  <si>
    <t>永山医院</t>
  </si>
  <si>
    <t>松本眼科医院</t>
  </si>
  <si>
    <t>おか整形外科</t>
  </si>
  <si>
    <t>なんば内科クリニック</t>
  </si>
  <si>
    <t>藤戸クリニック</t>
  </si>
  <si>
    <t>倉敷仁風ホスピタル</t>
  </si>
  <si>
    <t>倉敷市中島２３４０番地２３</t>
  </si>
  <si>
    <t>内科クリニックグリーンピース</t>
  </si>
  <si>
    <t>山岡医院</t>
  </si>
  <si>
    <t>加藤医院</t>
  </si>
  <si>
    <t>倉敷市児島下の町二丁目１４番１７号</t>
  </si>
  <si>
    <t>やまもと眼科</t>
  </si>
  <si>
    <t>クリニックソフィア</t>
  </si>
  <si>
    <t>むらかみクリニック</t>
  </si>
  <si>
    <t>杓永整形外科</t>
  </si>
  <si>
    <t>倉敷市児島柳田町５９６番地</t>
  </si>
  <si>
    <t>てぜん内科クリニック</t>
  </si>
  <si>
    <t>倉敷市水江１番地</t>
  </si>
  <si>
    <t>平成南町クリニック</t>
  </si>
  <si>
    <t>川辺内科</t>
  </si>
  <si>
    <t>いわもとクリニック</t>
  </si>
  <si>
    <t>倉敷スイートホスピタル</t>
  </si>
  <si>
    <t>倉敷市中庄３５４２番１</t>
  </si>
  <si>
    <t>倉敷廣済クリニック</t>
  </si>
  <si>
    <t>倉敷市東塚５丁目４番１６号</t>
  </si>
  <si>
    <t>つばさクリニック</t>
  </si>
  <si>
    <t>古谷医院</t>
  </si>
  <si>
    <t>みやけ眼科</t>
  </si>
  <si>
    <t>倉敷市福田町古新田６８８番地１</t>
  </si>
  <si>
    <t>すぎはら眼科・循環器科内科</t>
  </si>
  <si>
    <t>茶屋町こどもクリニック</t>
  </si>
  <si>
    <t>福嶋医院倉敷駅前診療所</t>
  </si>
  <si>
    <t>倉敷市阿知二丁目１４番８号</t>
  </si>
  <si>
    <t>浅口市寄島町３０７２</t>
  </si>
  <si>
    <t>まび記念病院</t>
  </si>
  <si>
    <t>倉敷市真備町川辺２０００番地１</t>
  </si>
  <si>
    <t>玉島中央病院</t>
  </si>
  <si>
    <t>倉敷市玉島阿賀崎２丁目１番１号</t>
  </si>
  <si>
    <t>まんだい眼科</t>
  </si>
  <si>
    <t>倉敷市下庄３１８番地１</t>
  </si>
  <si>
    <t>新倉敷ピーチクリニック</t>
  </si>
  <si>
    <t>倉敷市玉島八島１５１３番地</t>
  </si>
  <si>
    <t>やまな内科整形外科</t>
  </si>
  <si>
    <t>マツミクリニック</t>
  </si>
  <si>
    <t>倉敷市玉島中央町１丁目４番８号</t>
  </si>
  <si>
    <t>玉島協同病院</t>
  </si>
  <si>
    <t>国安ファミリークリニック</t>
  </si>
  <si>
    <t>児島中央病院</t>
  </si>
  <si>
    <t>倉敷市児島小川町３６８５番地</t>
  </si>
  <si>
    <t>岡皮膚科医院</t>
  </si>
  <si>
    <t>木村内科医院</t>
  </si>
  <si>
    <t>コープリハビリテーション病院</t>
  </si>
  <si>
    <t>倉敷市水島東千鳥町１番６０号</t>
  </si>
  <si>
    <t>多田皮膚科医院</t>
  </si>
  <si>
    <t>倉敷第一病院</t>
  </si>
  <si>
    <t>倉敷市老松町５丁目３番１０号</t>
  </si>
  <si>
    <t>川井クリニック</t>
  </si>
  <si>
    <t>倉敷市二子１３５番地１</t>
  </si>
  <si>
    <t>プライムホスピタル玉島</t>
  </si>
  <si>
    <t>やまもとクリニック</t>
  </si>
  <si>
    <t>倉敷市児島元浜町７８３番地５</t>
  </si>
  <si>
    <t>ＡＯＩ倉敷病院</t>
  </si>
  <si>
    <t>みつおかクリニック</t>
  </si>
  <si>
    <t>玉島南眼科</t>
  </si>
  <si>
    <t>倉敷市玉島乙島４４０９番地１４</t>
  </si>
  <si>
    <t>おがわ小児科</t>
  </si>
  <si>
    <t>片山内科クリニック</t>
  </si>
  <si>
    <t>あかつか眼科クリニック</t>
  </si>
  <si>
    <t>倉敷市笹沖１３２８番地１</t>
  </si>
  <si>
    <t>きむら眼科</t>
  </si>
  <si>
    <t>じょう泌尿器科クリニック</t>
  </si>
  <si>
    <t>河田眼科</t>
  </si>
  <si>
    <t>はばら内科ハートクリニック</t>
  </si>
  <si>
    <t>倉敷市西阿知町西原１０７４番地１</t>
  </si>
  <si>
    <t>児島聖康病院</t>
  </si>
  <si>
    <t>たけだクリニック</t>
  </si>
  <si>
    <t>倉敷市連島町鶴新田１７３０番地３</t>
  </si>
  <si>
    <t>倉敷てんげん眼科</t>
  </si>
  <si>
    <t>みずしま協同クリニック</t>
  </si>
  <si>
    <t>倉敷市水島南春日町１番２号</t>
  </si>
  <si>
    <t>えんさこ医院</t>
  </si>
  <si>
    <t>もり小児科・耳鼻咽喉科クリニック</t>
  </si>
  <si>
    <t>倉敷市松島１１００番地１</t>
  </si>
  <si>
    <t>かわかみこどもクリニック</t>
  </si>
  <si>
    <t>倉敷市新倉敷駅前５丁目１６番地１</t>
  </si>
  <si>
    <t>つばさクリニック玉島</t>
  </si>
  <si>
    <t>グリーン在宅クリニック</t>
  </si>
  <si>
    <t>薄元医院</t>
  </si>
  <si>
    <t>砂田眼科医院</t>
  </si>
  <si>
    <t>津山市田町７７</t>
  </si>
  <si>
    <t>中尾内科クリニック</t>
  </si>
  <si>
    <t>内田整形外科医院</t>
  </si>
  <si>
    <t>津山市山北５５０番地</t>
  </si>
  <si>
    <t>笹岡皮膚科クリニック</t>
  </si>
  <si>
    <t>中西クリニック</t>
  </si>
  <si>
    <t>上野眼科クリニック</t>
  </si>
  <si>
    <t>神谷内科医院</t>
  </si>
  <si>
    <t>津山市南新座１０９</t>
  </si>
  <si>
    <t>平山クリニック</t>
  </si>
  <si>
    <t>古賀眼科</t>
  </si>
  <si>
    <t>つやま山下眼科</t>
  </si>
  <si>
    <t>積善病院</t>
  </si>
  <si>
    <t>津山市一方１４０番地</t>
  </si>
  <si>
    <t>津山中央記念病院</t>
  </si>
  <si>
    <t>津山市二階町７１番地</t>
  </si>
  <si>
    <t>希望ヶ丘ホスピタル</t>
  </si>
  <si>
    <t>津山市田町１１５</t>
  </si>
  <si>
    <t>中島病院</t>
  </si>
  <si>
    <t>津山市田町１２２番地</t>
  </si>
  <si>
    <t>かんざき医院</t>
  </si>
  <si>
    <t>津山市山方５５番地の１０</t>
  </si>
  <si>
    <t>大桒医院</t>
  </si>
  <si>
    <t>津山市川崎１１３６</t>
  </si>
  <si>
    <t>藤田耳鼻咽喉科医院</t>
  </si>
  <si>
    <t>弓狩クリニック</t>
  </si>
  <si>
    <t>衣笠内科医院</t>
  </si>
  <si>
    <t>津山市椿高下３９番地</t>
  </si>
  <si>
    <t>ＥＳクリニック</t>
  </si>
  <si>
    <t>津山市津山口３０８番地</t>
  </si>
  <si>
    <t>河原内科・松尾小児科クリニック</t>
  </si>
  <si>
    <t>津山市二宮２１３７番地の１０</t>
  </si>
  <si>
    <t>岡本眼科医院</t>
  </si>
  <si>
    <t>岡外科胃腸肛門科</t>
  </si>
  <si>
    <t>多胡クリニック</t>
  </si>
  <si>
    <t>津山中央病院</t>
  </si>
  <si>
    <t>津山市川崎１７５６</t>
  </si>
  <si>
    <t>津山中央クリニック</t>
  </si>
  <si>
    <t>津山市二階町６５番地</t>
  </si>
  <si>
    <t>水田皮膚科泌尿器科</t>
  </si>
  <si>
    <t>津山市南新座１０５</t>
  </si>
  <si>
    <t>近光整形外科診療所</t>
  </si>
  <si>
    <t>津山市椿高下１２７番１</t>
  </si>
  <si>
    <t>井戸内科クリニック</t>
  </si>
  <si>
    <t>津山市山下１０１番地</t>
  </si>
  <si>
    <t>津山市山下１０１</t>
  </si>
  <si>
    <t>大谷病院</t>
  </si>
  <si>
    <t>津山市田町３３番地</t>
  </si>
  <si>
    <t>津山第一病院</t>
  </si>
  <si>
    <t>津山市中島４３８番地</t>
  </si>
  <si>
    <t>いちば医院</t>
  </si>
  <si>
    <t>本渡記念循環器クリニック</t>
  </si>
  <si>
    <t>西下病院サンクリニック</t>
  </si>
  <si>
    <t>津山市田町２７番地</t>
  </si>
  <si>
    <t>万袋医院</t>
  </si>
  <si>
    <t>津山市加茂町中原３２番地</t>
  </si>
  <si>
    <t>おおうみクリニック</t>
  </si>
  <si>
    <t>平福診療所</t>
  </si>
  <si>
    <t>布上内科医院</t>
  </si>
  <si>
    <t>津山市河辺１１５５番６</t>
  </si>
  <si>
    <t>石川病院</t>
  </si>
  <si>
    <t>津山ファミリークリニック</t>
  </si>
  <si>
    <t>津山市高野本郷１２７９番地２８</t>
  </si>
  <si>
    <t>津山市日本原３５２</t>
  </si>
  <si>
    <t>小畑醫院</t>
  </si>
  <si>
    <t>わたなべ内科医院</t>
  </si>
  <si>
    <t>津山クリニック</t>
  </si>
  <si>
    <t>ひらいクリニック</t>
  </si>
  <si>
    <t>津山市加茂町中原６１</t>
  </si>
  <si>
    <t>またの内科・循環器科クリニック</t>
  </si>
  <si>
    <t>津山市新職人町１８番地１</t>
  </si>
  <si>
    <t>坂本クリニック</t>
  </si>
  <si>
    <t>津山市高野本郷１２５７番地６</t>
  </si>
  <si>
    <t>くめ診療所</t>
  </si>
  <si>
    <t>津山市宮尾２８５番地１</t>
  </si>
  <si>
    <t>倭文診療所</t>
  </si>
  <si>
    <t>在宅クリニック　ホームケアプラス</t>
  </si>
  <si>
    <t>大野眼科</t>
  </si>
  <si>
    <t>木下耳鼻咽喉科クリニック</t>
  </si>
  <si>
    <t>たなべ内科</t>
  </si>
  <si>
    <t>竹原内科医院</t>
  </si>
  <si>
    <t>原田内科クリニック</t>
  </si>
  <si>
    <t>荘内クリニック</t>
  </si>
  <si>
    <t>由良病院</t>
  </si>
  <si>
    <t>玉野市深井町１１番１３号</t>
  </si>
  <si>
    <t>大西病院</t>
  </si>
  <si>
    <t>玉野市田井３丁目８番１１号</t>
  </si>
  <si>
    <t>玉野市宇野１丁目１２番２７号</t>
  </si>
  <si>
    <t>中谷外科病院</t>
  </si>
  <si>
    <t>玉野市田井３丁目１番２０号</t>
  </si>
  <si>
    <t>ナイカイ塩業診療所</t>
  </si>
  <si>
    <t>玉野市胸上２７２１</t>
  </si>
  <si>
    <t>近藤医院</t>
  </si>
  <si>
    <t>玉野市東田井地１３９８</t>
  </si>
  <si>
    <t>井上内科医院</t>
  </si>
  <si>
    <t>玉野市玉２丁目１２番１０号</t>
  </si>
  <si>
    <t>小野田耳鼻咽喉科医院</t>
  </si>
  <si>
    <t>しんみなクリニック</t>
  </si>
  <si>
    <t>玉野市用吉１６７６</t>
  </si>
  <si>
    <t>井上眼科</t>
  </si>
  <si>
    <t>玉野市宇野１丁目１４番３１号</t>
  </si>
  <si>
    <t>三宅内科外科医院</t>
  </si>
  <si>
    <t>玉野市槌ケ原１０１７番地</t>
  </si>
  <si>
    <t>青井医院</t>
  </si>
  <si>
    <t>のうの小児科医院</t>
  </si>
  <si>
    <t>玉野市田井５丁目２４番３５号</t>
  </si>
  <si>
    <t>満木内科小児科</t>
  </si>
  <si>
    <t>玉野中央病院</t>
  </si>
  <si>
    <t>玉野市築港１丁目１５番３号</t>
  </si>
  <si>
    <t>宇野八丁目クリニック</t>
  </si>
  <si>
    <t>山下泌尿器科</t>
  </si>
  <si>
    <t>たまメディカルリハビリテーションクリニック</t>
  </si>
  <si>
    <t>海岸通りクリニック</t>
  </si>
  <si>
    <t>こやま医院</t>
  </si>
  <si>
    <t>玉野市八浜町見石１６０７番地３</t>
  </si>
  <si>
    <t>せいきょう玉野診療所</t>
  </si>
  <si>
    <t>ハーヴィスクリニック</t>
  </si>
  <si>
    <t>渡辺クリニック</t>
  </si>
  <si>
    <t>木野山医院</t>
  </si>
  <si>
    <t>笠岡市西大島新田６４９</t>
  </si>
  <si>
    <t>谷口クリニック</t>
  </si>
  <si>
    <t>笠岡市金浦１１１１</t>
  </si>
  <si>
    <t>安倍医院</t>
  </si>
  <si>
    <t>笠岡市神島外浦１１９２</t>
  </si>
  <si>
    <t>豊浦分院</t>
  </si>
  <si>
    <t>みやけこどもクリニック</t>
  </si>
  <si>
    <t>さとう消化器肛門外科</t>
  </si>
  <si>
    <t>笠岡市笠岡４１０１番１</t>
  </si>
  <si>
    <t>ももの里病院</t>
  </si>
  <si>
    <t>笠岡市園井２２６３</t>
  </si>
  <si>
    <t>笠岡第一病院</t>
  </si>
  <si>
    <t>笠岡市横島１９４５</t>
  </si>
  <si>
    <t>笠岡中央病院</t>
  </si>
  <si>
    <t>笠岡市笠岡５１０２番地１４</t>
  </si>
  <si>
    <t>きのこエスポアール病院</t>
  </si>
  <si>
    <t>笠岡市東大戸２９０８番地</t>
  </si>
  <si>
    <t>斎藤内科消化器科</t>
  </si>
  <si>
    <t>笠岡市五番町６番地１０</t>
  </si>
  <si>
    <t>平山内科整形外科クリニック</t>
  </si>
  <si>
    <t>武田耳鼻咽喉科医院</t>
  </si>
  <si>
    <t>小田内科医院</t>
  </si>
  <si>
    <t>村上脳神経外科内科</t>
  </si>
  <si>
    <t>猪木医院</t>
  </si>
  <si>
    <t>さなだ耳鼻咽喉科医院</t>
  </si>
  <si>
    <t>永山眼科クリニック</t>
  </si>
  <si>
    <t>笠岡市五番町３番２</t>
  </si>
  <si>
    <t>おぐるすハートクリニック内科循環器呼吸器科</t>
  </si>
  <si>
    <t>はらだ眼科</t>
  </si>
  <si>
    <t>平木眼科医院</t>
  </si>
  <si>
    <t>井原市七日市町１３２番地</t>
  </si>
  <si>
    <t>青木内科</t>
  </si>
  <si>
    <t>井原市高屋町四丁目２４番１０号</t>
  </si>
  <si>
    <t>井原腎泌尿器科クリニック</t>
  </si>
  <si>
    <t>井原市上出部町５１３</t>
  </si>
  <si>
    <t>菅病院</t>
  </si>
  <si>
    <t>井原市井原町１２４番地</t>
  </si>
  <si>
    <t>きのこ診療所</t>
  </si>
  <si>
    <t>長尾整形外科リハビリテーション科</t>
  </si>
  <si>
    <t>井原第一クリニック</t>
  </si>
  <si>
    <t>井原市高屋町１２７番地の１</t>
  </si>
  <si>
    <t>大山眼科</t>
  </si>
  <si>
    <t>小田病院</t>
  </si>
  <si>
    <t>井原市井原町５８２番地</t>
  </si>
  <si>
    <t>森本整形外科医院</t>
  </si>
  <si>
    <t>井原市上出部町４７３番地</t>
  </si>
  <si>
    <t>ほそや医院</t>
  </si>
  <si>
    <t>井原市七日市町１０２番地</t>
  </si>
  <si>
    <t>原田内科医院</t>
  </si>
  <si>
    <t>タカヤクリニック</t>
  </si>
  <si>
    <t>前谷内科クリニック</t>
  </si>
  <si>
    <t>総社市真壁１５１ー５</t>
  </si>
  <si>
    <t>きび皮膚科形成外科クリニック</t>
  </si>
  <si>
    <t>みやした内科医院</t>
  </si>
  <si>
    <t>きびじ整形外科・内科・リハビリクリニック</t>
  </si>
  <si>
    <t>森下病院</t>
  </si>
  <si>
    <t>総社市駅前１丁目６番１号</t>
  </si>
  <si>
    <t>薬師寺慈恵病院</t>
  </si>
  <si>
    <t>杉本クリニック</t>
  </si>
  <si>
    <t>角田医院</t>
  </si>
  <si>
    <t>総社市中央３丁目３番地１１３</t>
  </si>
  <si>
    <t>谷向内科</t>
  </si>
  <si>
    <t>友野内科医院</t>
  </si>
  <si>
    <t>薬師寺医院</t>
  </si>
  <si>
    <t>総社市中央１丁目２２番地１０３</t>
  </si>
  <si>
    <t>泉クリニック</t>
  </si>
  <si>
    <t>さかえ外科内科クリニック</t>
  </si>
  <si>
    <t>総社市真壁２１２番地</t>
  </si>
  <si>
    <t>総社市真壁２１２</t>
  </si>
  <si>
    <t>三宅内科小児科医院</t>
  </si>
  <si>
    <t>総社市井手９１９番地</t>
  </si>
  <si>
    <t>やまもと医院</t>
  </si>
  <si>
    <t>総社市三輪６１８</t>
  </si>
  <si>
    <t>松尾皮膚科医院</t>
  </si>
  <si>
    <t>総社市総社二丁目２３番１４号</t>
  </si>
  <si>
    <t>すぎもと眼科医院</t>
  </si>
  <si>
    <t>総社市真壁１５８番地５</t>
  </si>
  <si>
    <t>ふじかわ眼科</t>
  </si>
  <si>
    <t>旦医院</t>
  </si>
  <si>
    <t>やまてクリニック</t>
  </si>
  <si>
    <t>杉生クリニック</t>
  </si>
  <si>
    <t>総社市三須１３４２</t>
  </si>
  <si>
    <t>パーク統合クリニック</t>
  </si>
  <si>
    <t>総社市駅前２丁目１７番１号</t>
  </si>
  <si>
    <t>清音クリニック</t>
  </si>
  <si>
    <t>総社みみ・はな・のどクリニック</t>
  </si>
  <si>
    <t>診療ドクター杉生</t>
  </si>
  <si>
    <t>総社市門田３１５番地</t>
  </si>
  <si>
    <t>高杉こどもクリニック</t>
  </si>
  <si>
    <t>藤井クリニック</t>
  </si>
  <si>
    <t>総社市駅南２丁目１７番地１</t>
  </si>
  <si>
    <t>あさのクリニック</t>
  </si>
  <si>
    <t>たなか耳鼻咽喉クリニック</t>
  </si>
  <si>
    <t>しおつか泌尿器科クリニック</t>
  </si>
  <si>
    <t>総社市金井戸１６８番地１</t>
  </si>
  <si>
    <t>総社市岡谷３３７番地１</t>
  </si>
  <si>
    <t>長野病院</t>
  </si>
  <si>
    <t>総社市金井戸150番地1</t>
  </si>
  <si>
    <t>高梁中央病院</t>
  </si>
  <si>
    <t>高梁市南町５３</t>
  </si>
  <si>
    <t>さきがけホスピタル</t>
  </si>
  <si>
    <t>高梁市落合町阿部２２００番地</t>
  </si>
  <si>
    <t>池田医院</t>
  </si>
  <si>
    <t>高梁市中間町５８</t>
  </si>
  <si>
    <t>大杉病院</t>
  </si>
  <si>
    <t>高梁市柿木町２４</t>
  </si>
  <si>
    <t>仲田医院</t>
  </si>
  <si>
    <t>高梁市落合町阿部１８９６番地</t>
  </si>
  <si>
    <t>藤本診療所</t>
  </si>
  <si>
    <t>高梁市松原通２１３３番地</t>
  </si>
  <si>
    <t>野村医院</t>
  </si>
  <si>
    <t>三村医院</t>
  </si>
  <si>
    <t>高梁整形外科医院</t>
  </si>
  <si>
    <t>ふじかわ眼科高梁分院</t>
  </si>
  <si>
    <t>長岡医院</t>
  </si>
  <si>
    <t>みはら皮膚科</t>
  </si>
  <si>
    <t>山本医院　耳・鼻・のどクリニック</t>
  </si>
  <si>
    <t>いとうファミリークリニック</t>
  </si>
  <si>
    <t>新見市正田２６番３</t>
  </si>
  <si>
    <t>新見中央病院</t>
  </si>
  <si>
    <t>上江洲医院</t>
  </si>
  <si>
    <t>新見市石蟹６０番地</t>
  </si>
  <si>
    <t>新見市新見７４１</t>
  </si>
  <si>
    <t>吉田医院</t>
  </si>
  <si>
    <t>こだま眼科</t>
  </si>
  <si>
    <t>長谷川紀念病院</t>
  </si>
  <si>
    <t>新見市高尾７９３番地の６</t>
  </si>
  <si>
    <t>さきがけクリニック</t>
  </si>
  <si>
    <t>太田病院</t>
  </si>
  <si>
    <t>新見市西方４２６番地</t>
  </si>
  <si>
    <t>渡辺病院</t>
  </si>
  <si>
    <t>新見クリニック</t>
  </si>
  <si>
    <t>新見市西方450番地</t>
  </si>
  <si>
    <t>星合医院</t>
  </si>
  <si>
    <t>備前市香登西２５２</t>
  </si>
  <si>
    <t>亀田眼科</t>
  </si>
  <si>
    <t>たかばクリニック</t>
  </si>
  <si>
    <t>武田整形外科</t>
  </si>
  <si>
    <t>備前市伊部２５２番地２</t>
  </si>
  <si>
    <t>下野内科外科</t>
  </si>
  <si>
    <t>浦上医院</t>
  </si>
  <si>
    <t>備前市穂浪２８３５―８</t>
  </si>
  <si>
    <t>こまざわ小児科医院</t>
  </si>
  <si>
    <t>備前市伊部４００番地の８</t>
  </si>
  <si>
    <t>木村内科</t>
  </si>
  <si>
    <t>備前市伊部１４９１番地</t>
  </si>
  <si>
    <t>草加病院</t>
  </si>
  <si>
    <t>備前市西片上１１２２</t>
  </si>
  <si>
    <t>備前市西片上１５番３</t>
  </si>
  <si>
    <t>せとうち眼科</t>
  </si>
  <si>
    <t>津島医院</t>
  </si>
  <si>
    <t>瀬戸内市牛窓町牛窓３８２３</t>
  </si>
  <si>
    <t>中川耳鼻咽喉科</t>
  </si>
  <si>
    <t>まつした医院</t>
  </si>
  <si>
    <t>もろおかクリニック</t>
  </si>
  <si>
    <t>瀬戸内市邑久町北島４９２番地１</t>
  </si>
  <si>
    <t>藤原整形外科医院</t>
  </si>
  <si>
    <t>こむら整形外科</t>
  </si>
  <si>
    <t>瀬戸内記念病院</t>
  </si>
  <si>
    <t>瀬戸内市長船町服部２９０番５</t>
  </si>
  <si>
    <t>岡崎内科クリニック</t>
  </si>
  <si>
    <t>瀬戸内市邑久町山田庄２１２番１</t>
  </si>
  <si>
    <t>内田医院</t>
  </si>
  <si>
    <t>瀬戸内市邑久町尾張３９番地１２</t>
  </si>
  <si>
    <t>おさふねクリニック</t>
  </si>
  <si>
    <t>水野医院</t>
  </si>
  <si>
    <t>山本クリニック</t>
  </si>
  <si>
    <t>赤磐皮膚科形成外科</t>
  </si>
  <si>
    <t>赤磐市日古木７９４</t>
  </si>
  <si>
    <t>さくら整形クリニック</t>
  </si>
  <si>
    <t>ふよう内科クリニック</t>
  </si>
  <si>
    <t>赤磐市西中１１８８番地１</t>
  </si>
  <si>
    <t>森クリニック</t>
  </si>
  <si>
    <t>仁美診療所</t>
  </si>
  <si>
    <t>赤磐市仁堀中１６８４番１</t>
  </si>
  <si>
    <t>赤磐市下市１８７番地１</t>
  </si>
  <si>
    <t>しんまち診療所</t>
  </si>
  <si>
    <t>真庭市勝山２５１</t>
  </si>
  <si>
    <t>廣惠医院</t>
  </si>
  <si>
    <t>はら内科クリニック</t>
  </si>
  <si>
    <t>みんなのクリニック</t>
  </si>
  <si>
    <t>内科・小児科　本山医院</t>
  </si>
  <si>
    <t>おかのぶ眼科</t>
  </si>
  <si>
    <t>米田内科医院</t>
  </si>
  <si>
    <t>真庭市勝山９６</t>
  </si>
  <si>
    <t>総合病院　落合病院</t>
  </si>
  <si>
    <t>真庭市上市瀬３４１番地</t>
  </si>
  <si>
    <t>河本医院</t>
  </si>
  <si>
    <t>松野内科医院</t>
  </si>
  <si>
    <t>金澤外科内科医院</t>
  </si>
  <si>
    <t>福井医院</t>
  </si>
  <si>
    <t>美作市湯郷９１６</t>
  </si>
  <si>
    <t>上田内科クリニック</t>
  </si>
  <si>
    <t>塚本内科医院</t>
  </si>
  <si>
    <t>加賀郡吉備中央町円城８５５</t>
  </si>
  <si>
    <t>戸川クリニック</t>
  </si>
  <si>
    <t>桜井内科</t>
  </si>
  <si>
    <t>赤磐医師会病院</t>
  </si>
  <si>
    <t>小坂内科医院</t>
  </si>
  <si>
    <t>マスカット整形外科医院</t>
  </si>
  <si>
    <t>おおくま皮ふ科医院</t>
  </si>
  <si>
    <t>赤磐市岩田３番１</t>
  </si>
  <si>
    <t>桜が丘クリニック</t>
  </si>
  <si>
    <t>吉井医院</t>
  </si>
  <si>
    <t>赤磐市山陽１丁目４番６号</t>
  </si>
  <si>
    <t>道満医院</t>
  </si>
  <si>
    <t>赤磐市町苅田９２０</t>
  </si>
  <si>
    <t>那須眼科</t>
  </si>
  <si>
    <t>赤磐市下市１８６番地１</t>
  </si>
  <si>
    <t>山陽クリニック</t>
  </si>
  <si>
    <t>越宗医院</t>
  </si>
  <si>
    <t>赤磐市西窪田５２３番地１</t>
  </si>
  <si>
    <t>ひらた整形外科</t>
  </si>
  <si>
    <t>あかいわファミリークリニック</t>
  </si>
  <si>
    <t>赤磐市河本１１４３</t>
  </si>
  <si>
    <t>うえの内科小児科医院</t>
  </si>
  <si>
    <t>赤磐市桜が丘西4丁目１番１１号</t>
  </si>
  <si>
    <t>大田原医院</t>
  </si>
  <si>
    <t>ほのぼのファミリークリニック</t>
  </si>
  <si>
    <t>北川病院</t>
  </si>
  <si>
    <t>和気郡和気町和気２７７</t>
  </si>
  <si>
    <t>平病院</t>
  </si>
  <si>
    <t>和気郡和気町尺所４３８</t>
  </si>
  <si>
    <t>萩原医院</t>
  </si>
  <si>
    <t>渋藤医院</t>
  </si>
  <si>
    <t>和気郡和気町父井原４３４番地の１</t>
  </si>
  <si>
    <t>小谷医院</t>
  </si>
  <si>
    <t>和気郡和気町和気４８０番地</t>
  </si>
  <si>
    <t>なかつか眼科</t>
  </si>
  <si>
    <t>柴田医院</t>
  </si>
  <si>
    <t>瀬戸内市長船町長船４２６番地</t>
  </si>
  <si>
    <t>那須医院</t>
  </si>
  <si>
    <t>平井医院</t>
  </si>
  <si>
    <t>内田クリニック</t>
  </si>
  <si>
    <t>長田医院</t>
  </si>
  <si>
    <t>はっとり医院</t>
  </si>
  <si>
    <t>竹内医院</t>
  </si>
  <si>
    <t>瀬戸内市牛窓町牛窓４９４９ー２４</t>
  </si>
  <si>
    <t>長谷井内科医院</t>
  </si>
  <si>
    <t>瀬戸内市長船町服部４８１番地４</t>
  </si>
  <si>
    <t>納所医院</t>
  </si>
  <si>
    <t>木村眼科</t>
  </si>
  <si>
    <t>岡ハートクリニック</t>
  </si>
  <si>
    <t>総社市岡谷１７０</t>
  </si>
  <si>
    <t>神経内科クリニックなんば</t>
  </si>
  <si>
    <t>河原内科医院</t>
  </si>
  <si>
    <t>早島クリニック　耳鼻咽喉科　皮膚科</t>
  </si>
  <si>
    <t>ふじい整形外科</t>
  </si>
  <si>
    <t>しげい腎クリニック早島</t>
  </si>
  <si>
    <t>都窪郡早島町前潟２７７</t>
  </si>
  <si>
    <t>白神医院</t>
  </si>
  <si>
    <t>浅口市寄島町５６６０</t>
  </si>
  <si>
    <t>髙山医院</t>
  </si>
  <si>
    <t>金光病院</t>
  </si>
  <si>
    <t>浅口市金光町占見新田７４０</t>
  </si>
  <si>
    <t>国定病院</t>
  </si>
  <si>
    <t>鴨方第一内科クリニック</t>
  </si>
  <si>
    <t>浅口市鴨方町六条院中１３２９番地</t>
  </si>
  <si>
    <t>田中眼科医院</t>
  </si>
  <si>
    <t>ナガヒロ医院</t>
  </si>
  <si>
    <t>礒川内科医院</t>
  </si>
  <si>
    <t>浅口郡里庄町新庄１３８８</t>
  </si>
  <si>
    <t>なかむら眼科</t>
  </si>
  <si>
    <t>福嶋医院</t>
  </si>
  <si>
    <t>みわ記念病院</t>
  </si>
  <si>
    <t>浅口市金光町佐方８０番地１</t>
  </si>
  <si>
    <t>ほかま医院</t>
  </si>
  <si>
    <t>浅口市金光町占見新田１１６６番地１</t>
  </si>
  <si>
    <t>よりしま中西医院</t>
  </si>
  <si>
    <t>鴨方整形外科</t>
  </si>
  <si>
    <t>浅口郡里庄町里見５２７６番地</t>
  </si>
  <si>
    <t>鴨方クリニック</t>
  </si>
  <si>
    <t>にいつクリニック</t>
  </si>
  <si>
    <t>にいつ耳鼻咽喉科医院</t>
  </si>
  <si>
    <t>小塚医院</t>
  </si>
  <si>
    <t>水川内科医院</t>
  </si>
  <si>
    <t>鳥越病院</t>
  </si>
  <si>
    <t>小田郡矢掛町小林３９５番地の１</t>
  </si>
  <si>
    <t>筒井医院</t>
  </si>
  <si>
    <t>山縣内科医院</t>
  </si>
  <si>
    <t>小田郡矢掛町矢掛３１０３</t>
  </si>
  <si>
    <t>おぐら整形外科医院</t>
  </si>
  <si>
    <t>小田郡矢掛町矢掛２５３３</t>
  </si>
  <si>
    <t>あゆみクリニック</t>
  </si>
  <si>
    <t>小田郡矢掛町矢掛２５６０番地３</t>
  </si>
  <si>
    <t>ポルソ矢掛クリニック</t>
  </si>
  <si>
    <t>小田郡矢掛町横谷1497</t>
  </si>
  <si>
    <t>山成医院</t>
  </si>
  <si>
    <t>河合医院</t>
  </si>
  <si>
    <t>赤木医院</t>
  </si>
  <si>
    <t>赤木医院共和診療所</t>
  </si>
  <si>
    <t>まきび病院</t>
  </si>
  <si>
    <t>倉敷市真備町箭田２３８７番地</t>
  </si>
  <si>
    <t>源医院</t>
  </si>
  <si>
    <t>平本胃腸科外科クリニック</t>
  </si>
  <si>
    <t>倉敷市真備町川辺１８３４番地５</t>
  </si>
  <si>
    <t>吉備高原ルミエール病院</t>
  </si>
  <si>
    <t>加賀郡吉備中央町宮地３３３６番地１５</t>
  </si>
  <si>
    <t>吉弘クリニック</t>
  </si>
  <si>
    <t>真庭市山田１９３７番地</t>
  </si>
  <si>
    <t>さとう医院</t>
  </si>
  <si>
    <t>真庭市下呰部４５２番地</t>
  </si>
  <si>
    <t>まつうらクリニック</t>
  </si>
  <si>
    <t>金田医院</t>
  </si>
  <si>
    <t>新見市大佐永富１６１７</t>
  </si>
  <si>
    <t>哲西町診療所</t>
  </si>
  <si>
    <t>新見市哲西町矢田３６０４番地</t>
  </si>
  <si>
    <t>谷田医院</t>
  </si>
  <si>
    <t>真庭市蒜山中福田２９９番地</t>
  </si>
  <si>
    <t>中山病院</t>
  </si>
  <si>
    <t>真庭市久世２５０８番地</t>
  </si>
  <si>
    <t>勝山病院</t>
  </si>
  <si>
    <t>真庭市本郷１８１９</t>
  </si>
  <si>
    <t>向陽台病院</t>
  </si>
  <si>
    <t>真庭市上市瀬３６８</t>
  </si>
  <si>
    <t>金田病院</t>
  </si>
  <si>
    <t>真庭市西原６３番地</t>
  </si>
  <si>
    <t>宮島医院</t>
  </si>
  <si>
    <t>真庭市月田６８４０</t>
  </si>
  <si>
    <t>遠藤クリニック</t>
  </si>
  <si>
    <t>真庭市蒜山上福田６９４番地</t>
  </si>
  <si>
    <t>松坂内科医院</t>
  </si>
  <si>
    <t>真庭市久世２８７３番地</t>
  </si>
  <si>
    <t>髙田医院</t>
  </si>
  <si>
    <t>真庭市福田２７８</t>
  </si>
  <si>
    <t>前原医院</t>
  </si>
  <si>
    <t>真庭市中島３９２番地の３</t>
  </si>
  <si>
    <t>片岡医院</t>
  </si>
  <si>
    <t>津山中央まにわ病院</t>
  </si>
  <si>
    <t>真庭市勝山１０７０</t>
  </si>
  <si>
    <t>イケヤ医院</t>
  </si>
  <si>
    <t>杉江医院</t>
  </si>
  <si>
    <t>まにわ整形外科クリニック</t>
  </si>
  <si>
    <t>真庭市目木１８８５番地の１</t>
  </si>
  <si>
    <t>まつうら医院</t>
  </si>
  <si>
    <t>只友医院</t>
  </si>
  <si>
    <t>津山市加茂町塔中１０５</t>
  </si>
  <si>
    <t>武田医院</t>
  </si>
  <si>
    <t>西村眼科医院</t>
  </si>
  <si>
    <t>苫田郡鏡野町古川１５０番地</t>
  </si>
  <si>
    <t>芳野病院</t>
  </si>
  <si>
    <t>苫田郡鏡野町吉原３１２</t>
  </si>
  <si>
    <t>太平台医院</t>
  </si>
  <si>
    <t>勝田郡勝央町平１２４２番地</t>
  </si>
  <si>
    <t>影山医院</t>
  </si>
  <si>
    <t>大村医院</t>
  </si>
  <si>
    <t>日本原病院</t>
  </si>
  <si>
    <t>さとう記念病院</t>
  </si>
  <si>
    <t>勝田郡勝央町黒土４５</t>
  </si>
  <si>
    <t>本位田診療所</t>
  </si>
  <si>
    <t>勝北すこやかクリニック</t>
  </si>
  <si>
    <t>小坂田医院</t>
  </si>
  <si>
    <t>勝田郡勝央町勝間田１７８</t>
  </si>
  <si>
    <t>勝北診療所</t>
  </si>
  <si>
    <t>湯郷ファミリークリニック</t>
  </si>
  <si>
    <t>田尻病院</t>
  </si>
  <si>
    <t>美作市明見５５０番地の１</t>
  </si>
  <si>
    <t>菊池クリニック</t>
  </si>
  <si>
    <t>原医院</t>
  </si>
  <si>
    <t>河田医院</t>
  </si>
  <si>
    <t>岡本医院</t>
  </si>
  <si>
    <t>美作中央病院</t>
  </si>
  <si>
    <t>美作市明見３５７番地の１</t>
  </si>
  <si>
    <t>関医院</t>
  </si>
  <si>
    <t>河合内科医院</t>
  </si>
  <si>
    <t>近藤クリニック</t>
  </si>
  <si>
    <t>亀乃甲診療所</t>
  </si>
  <si>
    <t>柵原病院</t>
  </si>
  <si>
    <t>久米郡美咲町吉ケ原９９２番地</t>
  </si>
  <si>
    <t>下土井クリニック</t>
  </si>
  <si>
    <t>吉備高原医療リハビリテーションセンター</t>
  </si>
  <si>
    <t>加賀郡吉備中央町吉川７５１１</t>
  </si>
  <si>
    <t>岡山赤十字玉野病院</t>
  </si>
  <si>
    <t>玉野市築港五丁目１６番２５号</t>
  </si>
  <si>
    <t>倉敷市立市民病院</t>
  </si>
  <si>
    <t>倉敷市児島駅前２丁目３９番地</t>
  </si>
  <si>
    <t>笠岡市立市民病院</t>
  </si>
  <si>
    <t>笠岡市笠岡５６２８番地の１</t>
  </si>
  <si>
    <t>笠岡市真鍋島診療所</t>
  </si>
  <si>
    <t>笠岡市真鍋島４０２３番地の１</t>
  </si>
  <si>
    <t>笠岡市六島診療所</t>
  </si>
  <si>
    <t>笠岡市北木島診療所</t>
  </si>
  <si>
    <t>笠岡市飛島診療所</t>
  </si>
  <si>
    <t>笠岡市高島診療所</t>
  </si>
  <si>
    <t>井原市立井原市民病院</t>
  </si>
  <si>
    <t>井原市井原町１１８６</t>
  </si>
  <si>
    <t>井原市立美星国保診療所</t>
  </si>
  <si>
    <t>井原市美星町大倉２４６７番地４</t>
  </si>
  <si>
    <t>高梁市宇治診療所</t>
  </si>
  <si>
    <t>高梁市宇治町宇治１６９０</t>
  </si>
  <si>
    <t>高梁市国民健康保険成羽病院附属川上診療所</t>
  </si>
  <si>
    <t>高梁市川上町地頭２３４０</t>
  </si>
  <si>
    <t>新見市菅生診療所</t>
  </si>
  <si>
    <t>新見市湯川診療所</t>
  </si>
  <si>
    <t>新見市土橋２４０６</t>
  </si>
  <si>
    <t>市立備前病院</t>
  </si>
  <si>
    <t>備前市伊部２２４５番地</t>
  </si>
  <si>
    <t>国民健康保険日笠診療所</t>
  </si>
  <si>
    <t>和気郡和気町日笠上４０５番地</t>
  </si>
  <si>
    <t>矢掛町国民健康保険病院</t>
  </si>
  <si>
    <t>小田郡矢掛町矢掛２６９５</t>
  </si>
  <si>
    <t>新庄村国民健康保険診療所</t>
  </si>
  <si>
    <t>鏡野町国民健康保険病院</t>
  </si>
  <si>
    <t>苫田郡鏡野町寺元３６５</t>
  </si>
  <si>
    <t>鏡野町国民健康保険奥津診療所</t>
  </si>
  <si>
    <t>西粟倉村国民健康保険診療所</t>
  </si>
  <si>
    <t>英田郡西粟倉村大字影石９０番地１</t>
  </si>
  <si>
    <t>奈義ファミリークリニック</t>
  </si>
  <si>
    <t>高梁市西山診療所</t>
  </si>
  <si>
    <t>高梁市国民健康保険成羽病院附属平川診療所</t>
  </si>
  <si>
    <t>高梁市国民健康保険成羽病院附属備中診療所</t>
  </si>
  <si>
    <t>高梁市国民健康保険成羽病院</t>
  </si>
  <si>
    <t>高梁市成羽町下原３０１番地</t>
  </si>
  <si>
    <t>瀬戸内市民病院</t>
  </si>
  <si>
    <t>国際貢献大学校メディカルクリニック</t>
  </si>
  <si>
    <t>新見市哲多町本郷１３３４番地１</t>
  </si>
  <si>
    <t>新見市大佐診療所</t>
  </si>
  <si>
    <t>新見市大佐小阪部１４７０</t>
  </si>
  <si>
    <t>新見市神代診療所</t>
  </si>
  <si>
    <t>新見市神郷下神代３９４６番地</t>
  </si>
  <si>
    <t>新見市新郷診療所</t>
  </si>
  <si>
    <t>新見市神郷釜村１１８７番地１</t>
  </si>
  <si>
    <t>美作市立作東診療所</t>
  </si>
  <si>
    <t>美作市江見２８０</t>
  </si>
  <si>
    <t>美作市立粟井診療所</t>
  </si>
  <si>
    <t>美作市立英田診療所</t>
  </si>
  <si>
    <t>美作市立大原病院</t>
  </si>
  <si>
    <t>美作市古町１７７１番地９</t>
  </si>
  <si>
    <t>国民健康保険湯原温泉病院</t>
  </si>
  <si>
    <t>真庭市下湯原５６番地</t>
  </si>
  <si>
    <t>備前市立日生病院</t>
  </si>
  <si>
    <t>備前市立吉永病院</t>
  </si>
  <si>
    <t>美作市立梶並診療所</t>
  </si>
  <si>
    <t>美作市梶並５０１番地１</t>
  </si>
  <si>
    <t>美作市立福山診療所</t>
  </si>
  <si>
    <t>赤磐市熊山診療所</t>
  </si>
  <si>
    <t>赤磐市松木６２１番地４</t>
  </si>
  <si>
    <t>笠岡市白石島診療所</t>
  </si>
  <si>
    <t>高梁市有漢診療所</t>
  </si>
  <si>
    <t>高梁市有漢町有漢３３８７</t>
  </si>
  <si>
    <t>備前市国民健康保険市立三石診療所</t>
  </si>
  <si>
    <t>たまの病院</t>
  </si>
  <si>
    <t>南岡山医療センター</t>
  </si>
  <si>
    <t>都窪郡早島町早島４０６６</t>
  </si>
  <si>
    <t>邑久光明園</t>
  </si>
  <si>
    <t>瀬戸内市邑久町虫明６２５３</t>
  </si>
  <si>
    <t>鳥越歯科クリニック</t>
  </si>
  <si>
    <t>川上歯科医院</t>
  </si>
  <si>
    <t>稲田歯科医院</t>
  </si>
  <si>
    <t>とよす歯科医院</t>
  </si>
  <si>
    <t>川西歯科医院</t>
  </si>
  <si>
    <t>フラワー歯科</t>
  </si>
  <si>
    <t>ナツアキ歯科</t>
  </si>
  <si>
    <t>まつもと歯科クリニック</t>
  </si>
  <si>
    <t>おひさま歯科クリニック</t>
  </si>
  <si>
    <t>のぞみデンタルクリニック</t>
  </si>
  <si>
    <t>いしいデンタルクリニック</t>
  </si>
  <si>
    <t>いろは歯科オーラルケアクリニック</t>
  </si>
  <si>
    <t>玉島歯科診療所</t>
  </si>
  <si>
    <t>水島歯科診療所</t>
  </si>
  <si>
    <t>橋本歯科医院</t>
  </si>
  <si>
    <t>須藤歯科診療所</t>
  </si>
  <si>
    <t>倉敷市児島唐琴３丁目５番１１号</t>
  </si>
  <si>
    <t>ひまわり歯科クリニック</t>
  </si>
  <si>
    <t>きもと・まなべ歯科クリニック</t>
  </si>
  <si>
    <t>真備歯科診療所</t>
  </si>
  <si>
    <t>近藤歯科医院</t>
  </si>
  <si>
    <t>コープくらしき歯科</t>
  </si>
  <si>
    <t>ひらた歯科クリニック</t>
  </si>
  <si>
    <t>児島歯科診療所</t>
  </si>
  <si>
    <t>井手歯科医院</t>
  </si>
  <si>
    <t>倉敷市玉島勇崎１００９番地５</t>
  </si>
  <si>
    <t>まびデンタルクリニック＆</t>
  </si>
  <si>
    <t>倉敷市真備町川辺２０００番地７</t>
  </si>
  <si>
    <t>倉敷成人病健診センター</t>
  </si>
  <si>
    <t>倉敷市白楽町２８２番地</t>
  </si>
  <si>
    <t>井戸歯科クリニック</t>
  </si>
  <si>
    <t>村上歯科医院</t>
  </si>
  <si>
    <t>津山歯科医療センター診療所</t>
  </si>
  <si>
    <t>津山市沼６番地の１５</t>
  </si>
  <si>
    <t>内田歯科クリニック</t>
  </si>
  <si>
    <t>東児はなふさ歯科医院</t>
  </si>
  <si>
    <t>山本歯科医院</t>
  </si>
  <si>
    <t>笠岡市十一番町１４の４</t>
  </si>
  <si>
    <t>いがらし歯科医院</t>
  </si>
  <si>
    <t>よしだ歯科医院</t>
  </si>
  <si>
    <t>矢吹歯科医院</t>
  </si>
  <si>
    <t>土肥歯科医院</t>
  </si>
  <si>
    <t>三宅歯科医院</t>
  </si>
  <si>
    <t>井原歯科クリニック</t>
  </si>
  <si>
    <t>横山歯科医院</t>
  </si>
  <si>
    <t>夏目さとう歯科医院</t>
  </si>
  <si>
    <t>しん・おかもと歯科クリニック</t>
  </si>
  <si>
    <t>アルファ歯科クリニック</t>
  </si>
  <si>
    <t>むとう歯科医院</t>
  </si>
  <si>
    <t>中田歯科医院</t>
  </si>
  <si>
    <t>医療生協高梁歯科診療所</t>
  </si>
  <si>
    <t>医療生協阿新歯科診療所</t>
  </si>
  <si>
    <t>こしむねファミリー歯科医院</t>
  </si>
  <si>
    <t>ふちの歯科医院</t>
  </si>
  <si>
    <t>桜が丘歯科医院</t>
  </si>
  <si>
    <t>梶原歯科医院</t>
  </si>
  <si>
    <t>坂本歯科医院</t>
  </si>
  <si>
    <t>赤磐市東窪田８９番地の４</t>
  </si>
  <si>
    <t>岡本歯科クリニック</t>
  </si>
  <si>
    <t>赤磐市穂崎８５７</t>
  </si>
  <si>
    <t>くさか歯科クリニック</t>
  </si>
  <si>
    <t>おおなる歯科</t>
  </si>
  <si>
    <t>和気郡和気町父井原１６６６</t>
  </si>
  <si>
    <t>武内歯科医院</t>
  </si>
  <si>
    <t>平井歯科医院</t>
  </si>
  <si>
    <t>はら歯科医院</t>
  </si>
  <si>
    <t>都窪郡早島町早島１２４２</t>
  </si>
  <si>
    <t>山手グリーン歯科医院</t>
  </si>
  <si>
    <t>小坂歯科医院</t>
  </si>
  <si>
    <t>雀部歯科医院鴨方診療所</t>
  </si>
  <si>
    <t>さだかね歯科医院</t>
  </si>
  <si>
    <t>矢掛駅前宮尾歯科クリニック</t>
  </si>
  <si>
    <t>植村歯科</t>
  </si>
  <si>
    <t>杉山歯科医院</t>
  </si>
  <si>
    <t>吉田歯科医院</t>
  </si>
  <si>
    <t>むとう歯科</t>
  </si>
  <si>
    <t>いとう歯科クリニック</t>
  </si>
  <si>
    <t>萩原歯科医院</t>
  </si>
  <si>
    <t>高梁市備中歯科診療所</t>
  </si>
  <si>
    <t>瀬戸内市裳掛歯科クリニック</t>
  </si>
  <si>
    <t>高梁市国民健康保険成羽病院附属川上歯科診療所</t>
  </si>
  <si>
    <t>高梁市川上町地頭２３４０番地</t>
  </si>
  <si>
    <t>たまの病院（歯科）</t>
  </si>
  <si>
    <t>渡辺薬局</t>
  </si>
  <si>
    <t>よつば薬局</t>
  </si>
  <si>
    <t>つばさ薬局</t>
  </si>
  <si>
    <t>あおぞら薬局</t>
  </si>
  <si>
    <t>ほり薬局</t>
  </si>
  <si>
    <t>あおば薬局</t>
  </si>
  <si>
    <t>くにとみ薬局</t>
  </si>
  <si>
    <t>こにし薬局</t>
  </si>
  <si>
    <t>ワカバ薬局</t>
  </si>
  <si>
    <t>大倉薬局</t>
  </si>
  <si>
    <t>村上薬局</t>
  </si>
  <si>
    <t>連島大熊薬局</t>
  </si>
  <si>
    <t>倉敷市連島町西之浦１２</t>
  </si>
  <si>
    <t>オバタ薬局</t>
  </si>
  <si>
    <t>さくらんぼ薬局</t>
  </si>
  <si>
    <t>下之町薬局</t>
  </si>
  <si>
    <t>庄薬局</t>
  </si>
  <si>
    <t>倉敷市上東６６０番地５</t>
  </si>
  <si>
    <t>わかくさ薬局</t>
  </si>
  <si>
    <t>足髙薬局　大高支店</t>
  </si>
  <si>
    <t>富永薬局林店</t>
  </si>
  <si>
    <t>倉敷市林５１５</t>
  </si>
  <si>
    <t>いずし薬局</t>
  </si>
  <si>
    <t>吉宗薬局本店</t>
  </si>
  <si>
    <t>倉敷市茶屋町３７５番地７</t>
  </si>
  <si>
    <t>足高薬局笹沖支店</t>
  </si>
  <si>
    <t>日の出薬局福島店</t>
  </si>
  <si>
    <t>日の出薬局　笹沖店</t>
  </si>
  <si>
    <t>きたぞの薬局玉島店</t>
  </si>
  <si>
    <t>わかば薬局駅前店</t>
  </si>
  <si>
    <t>倉敷市児島駅前１丁目１０２番地</t>
  </si>
  <si>
    <t>ちひろ薬局</t>
  </si>
  <si>
    <t>みのり薬局　藤戸店</t>
  </si>
  <si>
    <t>幸観堂薬局</t>
  </si>
  <si>
    <t>相互薬局林店</t>
  </si>
  <si>
    <t>サカエ薬局児島店</t>
  </si>
  <si>
    <t>そうごう薬局新倉敷店</t>
  </si>
  <si>
    <t>児島ひかり薬局</t>
  </si>
  <si>
    <t>倉敷市児島田の口１丁目３番５６号</t>
  </si>
  <si>
    <t>コーモト薬局　富田店</t>
  </si>
  <si>
    <t>スマイル薬局　児島下の町店</t>
  </si>
  <si>
    <t>水玉薬局</t>
  </si>
  <si>
    <t>倉敷市玉島勇崎１９５番３</t>
  </si>
  <si>
    <t>アイ薬局　茶屋町店</t>
  </si>
  <si>
    <t>倉敷市茶屋町１６０８</t>
  </si>
  <si>
    <t>アイビー薬局水江</t>
  </si>
  <si>
    <t>そうごう薬局東塚店</t>
  </si>
  <si>
    <t>日の出薬局</t>
  </si>
  <si>
    <t>日の出薬局　大島店</t>
  </si>
  <si>
    <t>藤原薬局</t>
  </si>
  <si>
    <t>ちひろ薬局くらしき阿知店</t>
  </si>
  <si>
    <t>富永薬局白楽町店</t>
  </si>
  <si>
    <t>日の出薬局　大高店</t>
  </si>
  <si>
    <t>虹の薬局　倉敷店</t>
  </si>
  <si>
    <t>倉敷市児島柳田町６１５</t>
  </si>
  <si>
    <t>クレア薬局</t>
  </si>
  <si>
    <t>スマイル薬局　福田店</t>
  </si>
  <si>
    <t>アップル薬局羽島店</t>
  </si>
  <si>
    <t>虹の薬局　本店</t>
  </si>
  <si>
    <t>そうごう薬局　南春日店</t>
  </si>
  <si>
    <t>コーモト薬局　乙島店</t>
  </si>
  <si>
    <t>なの花薬局</t>
  </si>
  <si>
    <t>スマイル薬局　水島店</t>
  </si>
  <si>
    <t>いちご薬局</t>
  </si>
  <si>
    <t>ミモザ薬局</t>
  </si>
  <si>
    <t>マスカット薬局　倉敷店</t>
  </si>
  <si>
    <t>幸観堂薬局　味野店</t>
  </si>
  <si>
    <t>ひまわり薬局加須山店</t>
  </si>
  <si>
    <t>倉敷市加須山２２４番地６</t>
  </si>
  <si>
    <t>児島あい薬局</t>
  </si>
  <si>
    <t>倉敷市児島駅前２丁目１９番地</t>
  </si>
  <si>
    <t>おかやま薬局　児島店</t>
  </si>
  <si>
    <t>ソーク薬局福井店</t>
  </si>
  <si>
    <t>虹の薬局　ちどり店</t>
  </si>
  <si>
    <t>ライト薬局</t>
  </si>
  <si>
    <t>日の出薬局　イオンモール倉敷店</t>
  </si>
  <si>
    <t>大手町薬局メディカルトーラー</t>
  </si>
  <si>
    <t>スマイル薬局水島南店</t>
  </si>
  <si>
    <t>さくら薬局</t>
  </si>
  <si>
    <t>そうごう薬局水島中央店</t>
  </si>
  <si>
    <t>富永薬局　新倉敷店</t>
  </si>
  <si>
    <t>倉敷市新倉敷駅前３丁目１３７</t>
  </si>
  <si>
    <t>倉敷なかしま薬局</t>
  </si>
  <si>
    <t>倉敷市中島２５４３番地</t>
  </si>
  <si>
    <t>ドレミ薬局　倉敷下庄店</t>
  </si>
  <si>
    <t>そうごう薬局児島店</t>
  </si>
  <si>
    <t>大手町薬局メディカルアンク</t>
  </si>
  <si>
    <t>オール薬局　倉敷店</t>
  </si>
  <si>
    <t>どんぐり薬局</t>
  </si>
  <si>
    <t>らくだ薬局　茶屋町店</t>
  </si>
  <si>
    <t>パステル薬局　花の街店</t>
  </si>
  <si>
    <t>そうごう薬局中庄店</t>
  </si>
  <si>
    <t>倉敷市中庄字岩才３５３８番１</t>
  </si>
  <si>
    <t>サエラ薬局倉敷２号店</t>
  </si>
  <si>
    <t>いほり薬局</t>
  </si>
  <si>
    <t>日の出薬局　白楽町店</t>
  </si>
  <si>
    <t>スマイル薬局北畝店</t>
  </si>
  <si>
    <t>富士薬局</t>
  </si>
  <si>
    <t>倉敷市児島味野上２丁目７番２５号</t>
  </si>
  <si>
    <t>ゆたか薬局</t>
  </si>
  <si>
    <t>倉敷市真備町川辺２０００番地１１</t>
  </si>
  <si>
    <t>くすの木薬局</t>
  </si>
  <si>
    <t>倉敷市加須山２５４番地１２</t>
  </si>
  <si>
    <t>ケンセイ薬局</t>
  </si>
  <si>
    <t>虹の薬局玉島店</t>
  </si>
  <si>
    <t>ザグザグ薬局中庄店</t>
  </si>
  <si>
    <t>トマト薬局生坂店</t>
  </si>
  <si>
    <t>らくだ薬局</t>
  </si>
  <si>
    <t>さくら薬局マスカット店</t>
  </si>
  <si>
    <t>富永薬局水島店</t>
  </si>
  <si>
    <t>なの花薬局 新倉敷駅前店</t>
  </si>
  <si>
    <t>倉敷市新倉敷駅前３丁目３０番</t>
  </si>
  <si>
    <t>オール薬局　鶴形店</t>
  </si>
  <si>
    <t>みのり薬局</t>
  </si>
  <si>
    <t>薬局福寿</t>
  </si>
  <si>
    <t>あしたか薬局白楽町店</t>
  </si>
  <si>
    <t>さくら薬局西阿知店</t>
  </si>
  <si>
    <t>スマイル薬局笹沖店</t>
  </si>
  <si>
    <t>倉敷市新田２７５０番地７</t>
  </si>
  <si>
    <t>フロンティア薬局玉島店</t>
  </si>
  <si>
    <t>トマト薬局玉島店</t>
  </si>
  <si>
    <t>リード薬局倉敷ベース</t>
  </si>
  <si>
    <t>サエラ薬局倉敷店</t>
  </si>
  <si>
    <t>富永薬局沖新町</t>
  </si>
  <si>
    <t>ドレミ薬局　連島店</t>
  </si>
  <si>
    <t>倉敷市連島町鶴新田１７３４番５</t>
  </si>
  <si>
    <t>ハートライフ薬局　松島店</t>
  </si>
  <si>
    <t>クオール薬局　倉敷店</t>
  </si>
  <si>
    <t>ささおき薬局</t>
  </si>
  <si>
    <t>ウイズ薬局児島店</t>
  </si>
  <si>
    <t>大高薬局</t>
  </si>
  <si>
    <t>アイ薬局　阿知店</t>
  </si>
  <si>
    <t>倉敷市新田３１４８</t>
  </si>
  <si>
    <t>きび薬局　真備店</t>
  </si>
  <si>
    <t>茶屋町薬局</t>
  </si>
  <si>
    <t>児島ハーブ薬局</t>
  </si>
  <si>
    <t>ザグザグ薬局　笹沖店</t>
  </si>
  <si>
    <t>倉敷市笹沖４７１</t>
  </si>
  <si>
    <t>おかやま薬局 西阿知店</t>
  </si>
  <si>
    <t>Ｎ薬局連島店</t>
  </si>
  <si>
    <t>倉敷市連島中央１丁目１０番３号</t>
  </si>
  <si>
    <t>足高薬局白楽町北店</t>
  </si>
  <si>
    <t>倉敷市白楽町２５０</t>
  </si>
  <si>
    <t>倉敷市林５２３</t>
  </si>
  <si>
    <t>ウエルシア薬局倉敷真備店</t>
  </si>
  <si>
    <t>倉敷市真備町有井９４番地</t>
  </si>
  <si>
    <t>寿元堂薬局</t>
  </si>
  <si>
    <t>ププレひまわり薬局　中島店</t>
  </si>
  <si>
    <t>レシピコーモト薬局</t>
  </si>
  <si>
    <t>とみなが薬局　美和店</t>
  </si>
  <si>
    <t>オール薬局　あちてらす倉敷店</t>
  </si>
  <si>
    <t>ザグザグ薬局　玉島店</t>
  </si>
  <si>
    <t>コスモス調剤薬局　玉島爪崎店</t>
  </si>
  <si>
    <t>ププレひまわり薬局　田ノ上店</t>
  </si>
  <si>
    <t>金光薬局大高店</t>
  </si>
  <si>
    <t>金光薬局倉敷店</t>
  </si>
  <si>
    <t>金光薬局倉敷昭和店</t>
  </si>
  <si>
    <t>金光薬局倉敷新田店</t>
  </si>
  <si>
    <t>金光薬局倉敷中庄店</t>
  </si>
  <si>
    <t>金光薬局倉敷福島店</t>
  </si>
  <si>
    <t>金光薬局水島神田店</t>
  </si>
  <si>
    <t>金光薬局倉敷林店</t>
  </si>
  <si>
    <t>金光薬局児島柳田店</t>
  </si>
  <si>
    <t>金光薬局新倉敷店</t>
  </si>
  <si>
    <t>金光薬局新倉敷西店</t>
  </si>
  <si>
    <t>アイン薬局倉敷駅前店</t>
  </si>
  <si>
    <t>倉敷市寿町１番２６号　マツダパーキングビル１階</t>
  </si>
  <si>
    <t>レモン薬局中庄店</t>
  </si>
  <si>
    <t>ザグザグ薬局北畝店</t>
  </si>
  <si>
    <t>いほり薬局帯高店</t>
  </si>
  <si>
    <t>コスモス調剤薬局下の町店</t>
  </si>
  <si>
    <t>コーモト薬局　黒崎店</t>
  </si>
  <si>
    <t>マスカット薬局　児島店</t>
  </si>
  <si>
    <t>ウエルシア薬局　倉敷駅前店</t>
  </si>
  <si>
    <t>イオン薬局倉敷店</t>
  </si>
  <si>
    <t>倉敷市水江1</t>
  </si>
  <si>
    <t>あいの倉薬局</t>
  </si>
  <si>
    <t>さくら薬局　倉敷インター店</t>
  </si>
  <si>
    <t>ププレひまわり薬局　グラン倉敷店</t>
  </si>
  <si>
    <t>ププレひまわり薬局　児島店</t>
  </si>
  <si>
    <t>富永薬局　笹沖</t>
  </si>
  <si>
    <t>あしたか薬局沖新町店</t>
  </si>
  <si>
    <t>メディライズ薬局倉敷店</t>
  </si>
  <si>
    <t>トマト薬局　倉敷店</t>
  </si>
  <si>
    <t>あいら薬局倉敷二子</t>
  </si>
  <si>
    <t>もとはま薬局</t>
  </si>
  <si>
    <t>ププレひまわり薬局　茶屋町店</t>
  </si>
  <si>
    <t>倉敷市茶屋町２３４</t>
  </si>
  <si>
    <t>キラきら薬局上成店</t>
  </si>
  <si>
    <t>幸観堂薬局四十瀬店</t>
  </si>
  <si>
    <t>おざき薬局笹沖店</t>
  </si>
  <si>
    <t>レモン薬局　水島店</t>
  </si>
  <si>
    <t>レモン薬局　中島店</t>
  </si>
  <si>
    <t>レモン薬局　八王寺店（令和７年６月３０日～休止中）</t>
  </si>
  <si>
    <t>あお調剤薬局　倉敷水江店</t>
  </si>
  <si>
    <t>さなだ薬局大高店</t>
  </si>
  <si>
    <t>富永薬局　児島柳田店</t>
  </si>
  <si>
    <t>ザグザグ薬局　新倉敷店</t>
  </si>
  <si>
    <t>ひまわり薬局　児島店</t>
  </si>
  <si>
    <t>ユアサ薬局　大高店</t>
  </si>
  <si>
    <t>倉敷市西中新田２０番地１３</t>
  </si>
  <si>
    <t>ププレひまわり薬局　倉敷松島店</t>
  </si>
  <si>
    <t>ププレひまわり薬局　倉敷新倉敷店</t>
  </si>
  <si>
    <t>かなで薬局</t>
  </si>
  <si>
    <t>あいの倉薬局　児島下の町</t>
  </si>
  <si>
    <t>倉敷市児島下の町７丁目４番７号</t>
  </si>
  <si>
    <t>イヨウ薬局　水島店</t>
  </si>
  <si>
    <t>イヨウ薬局　北畝店</t>
  </si>
  <si>
    <t>倉敷市北畝２丁目２番１０号</t>
  </si>
  <si>
    <t>小林薬局</t>
  </si>
  <si>
    <t>津山市京町６４番地</t>
  </si>
  <si>
    <t>服部薬局</t>
  </si>
  <si>
    <t>池田薬局</t>
  </si>
  <si>
    <t>大手町薬局椿高下店</t>
  </si>
  <si>
    <t>ドレミ薬局</t>
  </si>
  <si>
    <t>津山市小原１５４番地２０</t>
  </si>
  <si>
    <t>椿ヶ丘薬局</t>
  </si>
  <si>
    <t>津山市椿高下４０</t>
  </si>
  <si>
    <t>のぞみ薬局</t>
  </si>
  <si>
    <t>美作薬局</t>
  </si>
  <si>
    <t>津山市河辺９４２番地の１</t>
  </si>
  <si>
    <t>アサヒ薬局　小原店</t>
  </si>
  <si>
    <t>向陽薬局　田町店</t>
  </si>
  <si>
    <t>津山薬局田町南店</t>
  </si>
  <si>
    <t>津山市田町９５</t>
  </si>
  <si>
    <t>津山口薬局</t>
  </si>
  <si>
    <t>一宮薬局</t>
  </si>
  <si>
    <t>くすのき薬局</t>
  </si>
  <si>
    <t>津山市新魚町１７</t>
  </si>
  <si>
    <t>服部薬局　城南店</t>
  </si>
  <si>
    <t>わかば薬局</t>
  </si>
  <si>
    <t>津山市二階町３</t>
  </si>
  <si>
    <t>サン薬局　中央病院前店</t>
  </si>
  <si>
    <t>大手町薬局メディカルガンガ</t>
  </si>
  <si>
    <t>津山市二階町９</t>
  </si>
  <si>
    <t>服部薬局　南新座店</t>
  </si>
  <si>
    <t>きたぞの薬局本店</t>
  </si>
  <si>
    <t>マヤ薬局　津山口店</t>
  </si>
  <si>
    <t>にのみや薬局</t>
  </si>
  <si>
    <t>大手町薬局メディカルファラオ</t>
  </si>
  <si>
    <t>のぞみ薬局　中島店</t>
  </si>
  <si>
    <t>きたぞの薬局津山第一病院前店</t>
  </si>
  <si>
    <t>そうごう薬局　勝北店</t>
  </si>
  <si>
    <t>服部薬局　加茂店</t>
  </si>
  <si>
    <t>向陽薬局　高野店</t>
  </si>
  <si>
    <t>アサヒ薬局　河辺店</t>
  </si>
  <si>
    <t>服部薬局　二宮店</t>
  </si>
  <si>
    <t>のぞみ薬局　山下店</t>
  </si>
  <si>
    <t>あしだ薬局　高野店</t>
  </si>
  <si>
    <t>末田薬局</t>
  </si>
  <si>
    <t>イオン薬局　津山店</t>
  </si>
  <si>
    <t>津山薬局産業道路店</t>
  </si>
  <si>
    <t>エスマイル薬局鶴山店</t>
  </si>
  <si>
    <t>大手町薬局メディカルケーシー</t>
  </si>
  <si>
    <t>大手町薬局メディカルクレオ</t>
  </si>
  <si>
    <t>津山薬局平福店</t>
  </si>
  <si>
    <t>東津山薬局</t>
  </si>
  <si>
    <t>服部薬局　志戸部店</t>
  </si>
  <si>
    <t>向陽薬局</t>
  </si>
  <si>
    <t>くすりのラブ薬局津山東店</t>
  </si>
  <si>
    <t>くすりのラブ薬局二階町店</t>
  </si>
  <si>
    <t>Ｅ薬局　津山店</t>
  </si>
  <si>
    <t>津山市河辺１１５５番４９</t>
  </si>
  <si>
    <t>きたぞの薬局東一宮店</t>
  </si>
  <si>
    <t>服部薬局西店</t>
  </si>
  <si>
    <t>大手町薬局メディカルアルファ</t>
  </si>
  <si>
    <t>のぞみ薬局たかの店</t>
  </si>
  <si>
    <t>きたぞの薬局河辺店</t>
  </si>
  <si>
    <t>上河原薬局</t>
  </si>
  <si>
    <t>のぞみ薬局　ひがし店</t>
  </si>
  <si>
    <t>やっこ薬局</t>
  </si>
  <si>
    <t>津山市南新座１０４番地２</t>
  </si>
  <si>
    <t>津山薬局　南新座店</t>
  </si>
  <si>
    <t>津山薬局　河辺店</t>
  </si>
  <si>
    <t>のぞみ薬局　中央店</t>
  </si>
  <si>
    <t>ウエルネス薬局</t>
  </si>
  <si>
    <t>佐古薬局　石川病院前店</t>
  </si>
  <si>
    <t>きたぞの薬局　山北店</t>
  </si>
  <si>
    <t>ザグザグ薬局　志戸部店</t>
  </si>
  <si>
    <t>宇野薬局</t>
  </si>
  <si>
    <t>中島薬局</t>
  </si>
  <si>
    <t>山田薬局</t>
  </si>
  <si>
    <t>玉野市田井３丁目８番１０号</t>
  </si>
  <si>
    <t>ダテ薬局　宇野店</t>
  </si>
  <si>
    <t>肥後薬局</t>
  </si>
  <si>
    <t>ミルキー薬局</t>
  </si>
  <si>
    <t>玉野市宇藤木５５０番地の２９</t>
  </si>
  <si>
    <t>たまの薬局</t>
  </si>
  <si>
    <t>玉野市田井５丁目２４番３３号</t>
  </si>
  <si>
    <t>幸観堂薬局　秀天橋店</t>
  </si>
  <si>
    <t>コスモス薬局　八浜店</t>
  </si>
  <si>
    <t>ダテ薬局　東高崎店</t>
  </si>
  <si>
    <t>和田薬局</t>
  </si>
  <si>
    <t>コスモス薬局</t>
  </si>
  <si>
    <t>コスモス薬局　宇野店</t>
  </si>
  <si>
    <t>アルファオオギヤ薬局</t>
  </si>
  <si>
    <t>玉野市宇野２丁目１６番９号</t>
  </si>
  <si>
    <t>扇屋薬局</t>
  </si>
  <si>
    <t>玉野市田井３丁目４番６号</t>
  </si>
  <si>
    <t>神山薬局</t>
  </si>
  <si>
    <t>玉野市和田１丁目９番３２号</t>
  </si>
  <si>
    <t>ドラッグセイムス玉野和田薬局</t>
  </si>
  <si>
    <t>小野薬局宇野店</t>
  </si>
  <si>
    <t>ソーク薬局用吉店</t>
  </si>
  <si>
    <t>玉野市宇野１丁目４２番２５号</t>
  </si>
  <si>
    <t>東児薬局</t>
  </si>
  <si>
    <t>ダテ薬局　日比店</t>
  </si>
  <si>
    <t>玉野市羽根崎町５番３号</t>
  </si>
  <si>
    <t>ザグザグ薬局宇野店</t>
  </si>
  <si>
    <t>ダテ薬局　メルカ店</t>
  </si>
  <si>
    <t>はやぶさ薬局</t>
  </si>
  <si>
    <t>ダテ薬局　田井店</t>
  </si>
  <si>
    <t>城山薬局</t>
  </si>
  <si>
    <t>ドラッグセイムス玉野田井薬局</t>
  </si>
  <si>
    <t>玉野市田井三丁目３２番７０号</t>
  </si>
  <si>
    <t>岡薬局</t>
  </si>
  <si>
    <t>井上薬局</t>
  </si>
  <si>
    <t>玉野市宇野２丁目１７番２号</t>
  </si>
  <si>
    <t>富永薬局　宇野</t>
  </si>
  <si>
    <t>はれのまち薬局　宇野店</t>
  </si>
  <si>
    <t>ププレひまわり薬局　玉野店</t>
  </si>
  <si>
    <t>金谷薬局</t>
  </si>
  <si>
    <t>笠岡市金浦１０９４</t>
  </si>
  <si>
    <t>黒田薬局</t>
  </si>
  <si>
    <t>ファーマシィ薬局西大島</t>
  </si>
  <si>
    <t>笠岡市西大島新田６６９</t>
  </si>
  <si>
    <t>ウエル薬局</t>
  </si>
  <si>
    <t>はるかぜ薬局</t>
  </si>
  <si>
    <t>ファーマシィ薬局せと</t>
  </si>
  <si>
    <t>日本調剤　井笠薬局</t>
  </si>
  <si>
    <t>ココ薬局</t>
  </si>
  <si>
    <t>かくだ薬局　運動公園店</t>
  </si>
  <si>
    <t>アルファー薬局</t>
  </si>
  <si>
    <t>かさおか薬局</t>
  </si>
  <si>
    <t>ファーマシィ薬局美の浜</t>
  </si>
  <si>
    <t>かくだ薬局今立店</t>
  </si>
  <si>
    <t>アイ薬局</t>
  </si>
  <si>
    <t>レモン薬局　番町店</t>
  </si>
  <si>
    <t>レモン薬局　富岡店</t>
  </si>
  <si>
    <t>すぎはら薬局　笹賀店</t>
  </si>
  <si>
    <t>すぎはら薬局　井原駅前店</t>
  </si>
  <si>
    <t>いばらセンター薬局</t>
  </si>
  <si>
    <t>ピノキオ薬局</t>
  </si>
  <si>
    <t>井原市井原町１２６番地の１</t>
  </si>
  <si>
    <t>宮のはな薬局</t>
  </si>
  <si>
    <t>アルファー薬局美星店</t>
  </si>
  <si>
    <t>すぎはら薬局　高屋店</t>
  </si>
  <si>
    <t>すぎはら薬局　芳井店</t>
  </si>
  <si>
    <t>井原市芳井町吉井２５０</t>
  </si>
  <si>
    <t>アルファー薬局星の郷店</t>
  </si>
  <si>
    <t>メロン薬局</t>
  </si>
  <si>
    <t>井原市七日市町１０２番</t>
  </si>
  <si>
    <t>ファーマシィ薬局井原セントレ</t>
  </si>
  <si>
    <t>エスマイル薬局井原店</t>
  </si>
  <si>
    <t>ファーマシィ薬局西江原</t>
  </si>
  <si>
    <t>井原薬局</t>
  </si>
  <si>
    <t>ファーマシィ薬局たかや</t>
  </si>
  <si>
    <t>トキワ薬局</t>
  </si>
  <si>
    <t>よしだ薬局リブ店</t>
  </si>
  <si>
    <t>総社市門田１８７</t>
  </si>
  <si>
    <t>ヒジヤ薬局駅前店</t>
  </si>
  <si>
    <t>みわ薬局</t>
  </si>
  <si>
    <t>すみれ薬局</t>
  </si>
  <si>
    <t>総社市井手１２０８番地の４</t>
  </si>
  <si>
    <t>きび薬局</t>
  </si>
  <si>
    <t>総社市総社２丁目２０番１号</t>
  </si>
  <si>
    <t>マスカット薬局　総社店</t>
  </si>
  <si>
    <t>まきび薬局</t>
  </si>
  <si>
    <t>とんぼ薬局</t>
  </si>
  <si>
    <t>足高薬局東総社店</t>
  </si>
  <si>
    <t>エスマイル薬局ほのぼの店</t>
  </si>
  <si>
    <t>つくし薬局</t>
  </si>
  <si>
    <t>サカエ薬局真壁店</t>
  </si>
  <si>
    <t>あんず薬局</t>
  </si>
  <si>
    <t>ザグザグ薬局総社東店</t>
  </si>
  <si>
    <t>おかやま薬局総社東店</t>
  </si>
  <si>
    <t>れんげ薬局</t>
  </si>
  <si>
    <t>かえで薬局</t>
  </si>
  <si>
    <t>スマイル薬局　きびじ店</t>
  </si>
  <si>
    <t>アイ薬局 駅前店</t>
  </si>
  <si>
    <t>みどり薬局</t>
  </si>
  <si>
    <t>ザグザグ薬局総社真壁店</t>
  </si>
  <si>
    <t>総社市駅南1丁目6番地6</t>
  </si>
  <si>
    <t>アイ薬局　総社店</t>
  </si>
  <si>
    <t>ホリエ薬局</t>
  </si>
  <si>
    <t>おかやま薬局総社店</t>
  </si>
  <si>
    <t>落合薬局</t>
  </si>
  <si>
    <t>おがわ薬局</t>
  </si>
  <si>
    <t>エスマイル薬局高梁店</t>
  </si>
  <si>
    <t>成羽かわかみ薬局</t>
  </si>
  <si>
    <t>エスマイル薬局成羽店</t>
  </si>
  <si>
    <t>高梁市成羽町下原４１２</t>
  </si>
  <si>
    <t>マスカット薬局　高梁店</t>
  </si>
  <si>
    <t>クオール薬局　高梁店</t>
  </si>
  <si>
    <t>サニードラッグ</t>
  </si>
  <si>
    <t>高梁市南町４６</t>
  </si>
  <si>
    <t>クオール薬局高梁南町店</t>
  </si>
  <si>
    <t>阿新薬局高尾店</t>
  </si>
  <si>
    <t>阿新薬局インター店</t>
  </si>
  <si>
    <t>阿新薬局　駅前店</t>
  </si>
  <si>
    <t>さくら薬局新見店</t>
  </si>
  <si>
    <t>新見市新見８２０</t>
  </si>
  <si>
    <t>西井山陽堂薬局</t>
  </si>
  <si>
    <t>ゆずりは薬局</t>
  </si>
  <si>
    <t>そうごう薬局　新見店</t>
  </si>
  <si>
    <t>ウエルシア薬局　新見高尾店</t>
  </si>
  <si>
    <t>さくら薬局正田店</t>
  </si>
  <si>
    <t>新見市正田２７番地３</t>
  </si>
  <si>
    <t>いんべ薬局</t>
  </si>
  <si>
    <t>マスカット薬局　備前店</t>
  </si>
  <si>
    <t>みついし薬局</t>
  </si>
  <si>
    <t>びぜん薬局</t>
  </si>
  <si>
    <t>ふじ薬局　備前店</t>
  </si>
  <si>
    <t>マスカット薬局　穂浪店</t>
  </si>
  <si>
    <t>さくら薬局　市立備前病院前店</t>
  </si>
  <si>
    <t>備前市伊部２４０８番地８</t>
  </si>
  <si>
    <t>おざき薬局備前店</t>
  </si>
  <si>
    <t>こやま薬局　長船店</t>
  </si>
  <si>
    <t>おざき薬局</t>
  </si>
  <si>
    <t>ザグザグ薬局邑久店</t>
  </si>
  <si>
    <t>ハロー薬局　尾張店</t>
  </si>
  <si>
    <t>くるみ薬局</t>
  </si>
  <si>
    <t>さくら薬局　瀬戸内邑久店</t>
  </si>
  <si>
    <t>さくら薬局長船店</t>
  </si>
  <si>
    <t>サカエ薬局　瀬戸内店</t>
  </si>
  <si>
    <t>金光薬局長船店</t>
  </si>
  <si>
    <t>金光薬局邑久店</t>
  </si>
  <si>
    <t>大谷薬局</t>
  </si>
  <si>
    <t>ザグザグ薬局町苅田店</t>
  </si>
  <si>
    <t>ゴダイ薬局　桜が丘店</t>
  </si>
  <si>
    <t>やまかわ薬局</t>
  </si>
  <si>
    <t>赤磐市西中１１８８番地６</t>
  </si>
  <si>
    <t>おかやま薬局山陽店</t>
  </si>
  <si>
    <t>サカエ薬局山陽店</t>
  </si>
  <si>
    <t>ザグザグ薬局下市店</t>
  </si>
  <si>
    <t>すさい薬局</t>
  </si>
  <si>
    <t>ナビ薬局　赤坂店</t>
  </si>
  <si>
    <t>ハロー薬局　赤磐店</t>
  </si>
  <si>
    <t>ププレひまわり薬局　山陽店</t>
  </si>
  <si>
    <t>大手町薬局メディカルスワミ</t>
  </si>
  <si>
    <t>てしま薬局久世駅前店</t>
  </si>
  <si>
    <t>真庭市山田１８９４</t>
  </si>
  <si>
    <t>吉松屋薬局</t>
  </si>
  <si>
    <t>真庭市久世２８１３</t>
  </si>
  <si>
    <t>そうごう薬局　真庭勝山店</t>
  </si>
  <si>
    <t>真庭市勝山２６０</t>
  </si>
  <si>
    <t>吉松屋薬局月田店</t>
  </si>
  <si>
    <t>なでしこ薬局</t>
  </si>
  <si>
    <t>あさがお薬局</t>
  </si>
  <si>
    <t>ほくぼう薬局</t>
  </si>
  <si>
    <t>真庭中央薬局</t>
  </si>
  <si>
    <t>真庭市上市瀬342</t>
  </si>
  <si>
    <t>ファーマシィ薬局湯原温泉</t>
  </si>
  <si>
    <t>むさしの里薬局</t>
  </si>
  <si>
    <t>ありもと薬局大原病院前店</t>
  </si>
  <si>
    <t>さくら薬局作東店</t>
  </si>
  <si>
    <t>マスカット薬局　湯郷店</t>
  </si>
  <si>
    <t>葦陽勝田薬局（令和７年８月１日～休止中）</t>
  </si>
  <si>
    <t>湯郷薬局</t>
  </si>
  <si>
    <t>芳徳薬局</t>
  </si>
  <si>
    <t>芳徳薬局　英田店</t>
  </si>
  <si>
    <t>とよくに薬局</t>
  </si>
  <si>
    <t>こんこうファーマシー薬局</t>
  </si>
  <si>
    <t>エスマイル薬局立脇店</t>
  </si>
  <si>
    <t>ファミリー薬局鴨方店</t>
  </si>
  <si>
    <t>金光駅前薬局</t>
  </si>
  <si>
    <t>金光薬局金光店</t>
  </si>
  <si>
    <t>ドルフィン薬局</t>
  </si>
  <si>
    <t>浅口市寄島町3064</t>
  </si>
  <si>
    <t>あやめ薬局</t>
  </si>
  <si>
    <t>サンヨー薬局</t>
  </si>
  <si>
    <t>サカエ薬局赤坂店</t>
  </si>
  <si>
    <t>みらい薬局山陽桜が丘西店</t>
  </si>
  <si>
    <t>赤磐市桜が丘西四丁目１番９号</t>
  </si>
  <si>
    <t>サンヨー薬局　和気店</t>
  </si>
  <si>
    <t>和気郡和気町和気６６９</t>
  </si>
  <si>
    <t>林薬局</t>
  </si>
  <si>
    <t>和気郡和気町父井原４３０番地３</t>
  </si>
  <si>
    <t>ゴダイ薬局和気店</t>
  </si>
  <si>
    <t>東邦薬局　和気店</t>
  </si>
  <si>
    <t>のぞみ薬局　わけ店</t>
  </si>
  <si>
    <t>栄町ヤマト薬局</t>
  </si>
  <si>
    <t>竹原薬局</t>
  </si>
  <si>
    <t>かすみ薬局　早島店</t>
  </si>
  <si>
    <t>ハヤシマ薬局</t>
  </si>
  <si>
    <t>フロンティア薬局　早島店</t>
  </si>
  <si>
    <t>富永薬局　早島店</t>
  </si>
  <si>
    <t>都窪郡早島町早島１４７３</t>
  </si>
  <si>
    <t>つくぼ薬局</t>
  </si>
  <si>
    <t>サンメディカル薬局　浜中店</t>
  </si>
  <si>
    <t>田辺薬局本店</t>
  </si>
  <si>
    <t>浅口市鴨方町六条院中３２３３ー１</t>
  </si>
  <si>
    <t>さなだ薬局</t>
  </si>
  <si>
    <t>田辺薬局　新町店</t>
  </si>
  <si>
    <t>ファミリー薬局</t>
  </si>
  <si>
    <t>ファーマシィ薬局よりしま</t>
  </si>
  <si>
    <t>はた薬局　里庄店</t>
  </si>
  <si>
    <t>りんご薬局</t>
  </si>
  <si>
    <t>久津間薬局</t>
  </si>
  <si>
    <t>小田郡矢掛町矢掛３１７４</t>
  </si>
  <si>
    <t>ファーマシィ薬局やかげ</t>
  </si>
  <si>
    <t>ロマン薬局</t>
  </si>
  <si>
    <t>アルファー薬局　小田店</t>
  </si>
  <si>
    <t>イヨウ薬局　矢掛店</t>
  </si>
  <si>
    <t>スマイル薬局　真備店</t>
  </si>
  <si>
    <t>さくら薬局大佐店</t>
  </si>
  <si>
    <t>ユアサ薬局</t>
  </si>
  <si>
    <t>てしま薬局</t>
  </si>
  <si>
    <t>ユアサ泉橋薬局</t>
  </si>
  <si>
    <t>安部薬局</t>
  </si>
  <si>
    <t>真庭市目木１８８１番地</t>
  </si>
  <si>
    <t>てしま薬局旭町店</t>
  </si>
  <si>
    <t>エンジェル薬局</t>
  </si>
  <si>
    <t>サカエ薬局勝山店</t>
  </si>
  <si>
    <t>こうち薬局</t>
  </si>
  <si>
    <t>スーパードラッグたんぽぽ勝山薬局</t>
  </si>
  <si>
    <t>真庭市三田１４９番地１</t>
  </si>
  <si>
    <t>てしま薬局勝山店</t>
  </si>
  <si>
    <t>久世大橋薬局</t>
  </si>
  <si>
    <t>真庭市久世２３９８番９</t>
  </si>
  <si>
    <t>早川町薬局</t>
  </si>
  <si>
    <t>苫田郡鏡野町吉原２９</t>
  </si>
  <si>
    <t>そよかぜ薬局</t>
  </si>
  <si>
    <t>さくらさく薬局</t>
  </si>
  <si>
    <t>かがみの薬局</t>
  </si>
  <si>
    <t>あしだ薬局　日本原店</t>
  </si>
  <si>
    <t>マスカット薬局日本原店</t>
  </si>
  <si>
    <t>マスカット薬局 奈義店</t>
  </si>
  <si>
    <t>あしだ薬局　上村店</t>
  </si>
  <si>
    <t>可児薬局</t>
  </si>
  <si>
    <t>勝田郡勝央町勝間田７０７</t>
  </si>
  <si>
    <t>金時薬局</t>
  </si>
  <si>
    <t>よりどころ薬局</t>
  </si>
  <si>
    <t>勝田郡勝央町岡519</t>
  </si>
  <si>
    <t>つばめ薬局</t>
  </si>
  <si>
    <t>有限会社　あしだ薬局　植月店</t>
  </si>
  <si>
    <t>山本薬局</t>
  </si>
  <si>
    <t>美作市栄町１８３</t>
  </si>
  <si>
    <t>鳥越薬局</t>
  </si>
  <si>
    <t>美作市湯郷７６６番地の１</t>
  </si>
  <si>
    <t>春名薬局</t>
  </si>
  <si>
    <t>グリーン薬局</t>
  </si>
  <si>
    <t>美作市明見５６３</t>
  </si>
  <si>
    <t>吉野薬局</t>
  </si>
  <si>
    <t>みつぼし薬局</t>
  </si>
  <si>
    <t>マスカット薬局　久米南店</t>
  </si>
  <si>
    <t>久米郡久米南町神目中794番地7</t>
  </si>
  <si>
    <t>E薬局　久米南店</t>
  </si>
  <si>
    <t>ウェリナ薬局</t>
  </si>
  <si>
    <t>久米郡美咲町原田１７６４番地２</t>
  </si>
  <si>
    <t>田村薬局</t>
  </si>
  <si>
    <t>加賀郡吉備中央町竹荘４９１番地の９</t>
  </si>
  <si>
    <t>アイン薬局吉備中央店</t>
  </si>
  <si>
    <t>アイン薬局吉備加茂川店</t>
  </si>
  <si>
    <t>倉敷訪問看護サービスセンター</t>
  </si>
  <si>
    <t>ヘイセイ訪問看護ステーション</t>
  </si>
  <si>
    <t>亀龍園訪問看護ステーション</t>
  </si>
  <si>
    <t>倉敷中央訪問看護ステーション</t>
  </si>
  <si>
    <t>水島訪問看護ステーション</t>
  </si>
  <si>
    <t>水島虹の訪問看護ステーション</t>
  </si>
  <si>
    <t>倉敷紀念訪問看護ステーション</t>
  </si>
  <si>
    <t>玉島虹の訪問看護ステーション</t>
  </si>
  <si>
    <t>天和会訪問看護ステーション</t>
  </si>
  <si>
    <t>訪問看護ステーションサンライフ倉敷</t>
  </si>
  <si>
    <t>王慈園訪問看護ステーション</t>
  </si>
  <si>
    <t>倉敷しげい訪問看護ステーション</t>
  </si>
  <si>
    <t>和香会訪問看護ステーション</t>
  </si>
  <si>
    <t>訪問看護ステーションかえで</t>
  </si>
  <si>
    <t>創心会訪問看護リハビリステーション</t>
  </si>
  <si>
    <t>訪問看護ステーションてまり</t>
  </si>
  <si>
    <t>訪問看護ステーション青空</t>
  </si>
  <si>
    <t>訪問看護ステーションあんど</t>
  </si>
  <si>
    <t>富田訪問看護ステーション</t>
  </si>
  <si>
    <t>ニチイケアセンター大高訪問看護ステーション</t>
  </si>
  <si>
    <t>訪問看護ステーションぶどうの家天使のおくりもの</t>
  </si>
  <si>
    <t>倉敷市船穂町船穂２９０１</t>
  </si>
  <si>
    <t>訪問看護ステーションデューン倉敷</t>
  </si>
  <si>
    <t>倉敷市松島１１４１番地５　ＧＡＬＬＥＲＩＡ　１ー西号</t>
  </si>
  <si>
    <t>訪問看護ステーションみこと</t>
  </si>
  <si>
    <t>訪問看護ステーション　みつや倉敷</t>
  </si>
  <si>
    <t>訪問看護ステーション児島</t>
  </si>
  <si>
    <t>倉敷市児島味野１丁目４番２３号</t>
  </si>
  <si>
    <t>そーる訪問看護ステーション</t>
  </si>
  <si>
    <t>倉敷市真備町尾崎８１２番地１６</t>
  </si>
  <si>
    <t>訪問看護ステーションデューン新倉敷</t>
  </si>
  <si>
    <t>倉敷市玉島爪崎４４６　ＭＫ北ビル２０３号室</t>
  </si>
  <si>
    <t>倉敷スイート訪問看護ステーション</t>
  </si>
  <si>
    <t>訪問看護ステーションなないろ</t>
  </si>
  <si>
    <t>さくら訪問看護</t>
  </si>
  <si>
    <t>グッドタイム訪問看護ステーション・倉敷</t>
  </si>
  <si>
    <t>倉敷市日吉町３４７番地１</t>
  </si>
  <si>
    <t>訪問看護ステーションデューン倉敷西</t>
  </si>
  <si>
    <t>倉敷市笹沖１２６１番地５　白神テナント１階</t>
  </si>
  <si>
    <t>訪問看護ステーション翡翠</t>
  </si>
  <si>
    <t>訪問看護ステーションみのり</t>
  </si>
  <si>
    <t>創心会訪問看護リハビリステーション中洲</t>
  </si>
  <si>
    <t>訪問看護ステーションでいご倉敷</t>
  </si>
  <si>
    <t>おうじ訪問看護ステーション</t>
  </si>
  <si>
    <t>訪問看護ステーションるぽ</t>
  </si>
  <si>
    <t>ツクイ倉敷訪問看護ステーション</t>
  </si>
  <si>
    <t>訪問看護ステーションリボーン岡山</t>
  </si>
  <si>
    <t>訪問看護ステーションぶどうの家真備</t>
  </si>
  <si>
    <t>訪問看護ステーション　デューン倉敷北</t>
  </si>
  <si>
    <t>アクト訪問看護ステーション</t>
  </si>
  <si>
    <t>訪問看護ステーションあやめ倉敷</t>
  </si>
  <si>
    <t>訪問看護ステーション　みらい</t>
  </si>
  <si>
    <t>倉敷市児島下の町５丁目２番１７号</t>
  </si>
  <si>
    <t>フィロソフィア訪問看護ステーション倉敷</t>
  </si>
  <si>
    <t>倉敷市石見町４番６号</t>
  </si>
  <si>
    <t>訪問看護フィリーズ</t>
  </si>
  <si>
    <t>アーク訪問看護ステーション中庄店</t>
  </si>
  <si>
    <t>あわい訪問看護ステーション</t>
  </si>
  <si>
    <t>チューリップ訪問看護ステーション倉敷</t>
  </si>
  <si>
    <t>訪問看護ルミナスメディカル倉敷</t>
  </si>
  <si>
    <t>倉敷市西中新田２５番３</t>
  </si>
  <si>
    <t>くるむ訪問看護ステーション倉敷</t>
  </si>
  <si>
    <t>看護小規模多機能ホーム桃の風花</t>
  </si>
  <si>
    <t>看護小規模多機能ホーム　さんらいふ　生坂</t>
  </si>
  <si>
    <t>看護小規模多機能ホームみどりのけあ　笹沖</t>
  </si>
  <si>
    <t>共生型看護小規模多機能ホーム桃の鈴花</t>
  </si>
  <si>
    <t>おうじの定期巡回</t>
  </si>
  <si>
    <t>訪問看護ステーション　ひまわり</t>
  </si>
  <si>
    <t>津山市平福５４６番地１</t>
  </si>
  <si>
    <t>訪問看護ステーションレモン</t>
  </si>
  <si>
    <t>訪問看護ステーション　こだま</t>
  </si>
  <si>
    <t>津山中央訪問看護ステーション</t>
  </si>
  <si>
    <t>津山市元魚町１２</t>
  </si>
  <si>
    <t>訪問看護ステーションあゆみ</t>
  </si>
  <si>
    <t>そよかぜ訪問看護ステーション</t>
  </si>
  <si>
    <t>訪問看護ステーションなかしま</t>
  </si>
  <si>
    <t>津山第一病院訪問看護ステーション</t>
  </si>
  <si>
    <t>訪問看護ステーション　ひこうきぐも</t>
  </si>
  <si>
    <t>訪問看護ステーションのどか</t>
  </si>
  <si>
    <t>訪問看護ステーション　ホームケアプラス</t>
  </si>
  <si>
    <t>訪問看護ステーションほほえみ</t>
  </si>
  <si>
    <t>訪問看護ステーションほのか</t>
  </si>
  <si>
    <t>訪問看護リハビリステーションしん</t>
  </si>
  <si>
    <t>訪問看護ステーションくじば</t>
  </si>
  <si>
    <t>笠岡市笠岡５０９９番地２</t>
  </si>
  <si>
    <t>訪問看護ステーション　瀬戸いこい苑</t>
  </si>
  <si>
    <t>訪問看護ステーションライフグッド</t>
  </si>
  <si>
    <t>訪問看護ステーションハッピーズ</t>
  </si>
  <si>
    <t>笠岡市走出4407</t>
  </si>
  <si>
    <t>井原医師会訪問看護ステーション</t>
  </si>
  <si>
    <t>井原市井原町１８１番地５</t>
  </si>
  <si>
    <t>いずみ訪問看護ステーション</t>
  </si>
  <si>
    <t>すばる訪問看護ステーション</t>
  </si>
  <si>
    <t>訪問看護ステーションのぞみ</t>
  </si>
  <si>
    <t>ながの訪問看護ステーション</t>
  </si>
  <si>
    <t>総社市金井戸１５０番地１</t>
  </si>
  <si>
    <t>訪問看護ステーション　ママック総社</t>
  </si>
  <si>
    <t>訪問看護ステーションこやま</t>
  </si>
  <si>
    <t>総社市清音上中島２３９番地４　コーポ清音２０２号室</t>
  </si>
  <si>
    <t>訪問看護ステーションone・room</t>
  </si>
  <si>
    <t>訪問看護ステーション光憂舘</t>
  </si>
  <si>
    <t>総社市日羽４５６番地１</t>
  </si>
  <si>
    <t>訪問看護ステーション　ケアリンク総社</t>
  </si>
  <si>
    <t>訪問看護ステーションなごみの森</t>
  </si>
  <si>
    <t>高梁中央訪問看護ステーション</t>
  </si>
  <si>
    <t>高梁市南町53</t>
  </si>
  <si>
    <t>大杉病院訪問看護ステーション</t>
  </si>
  <si>
    <t>阿新虹の訪問看護ステーション</t>
  </si>
  <si>
    <t>訪問看護ステーションくろかみ</t>
  </si>
  <si>
    <t>新見市高尾２３０６番地の５</t>
  </si>
  <si>
    <t>備前市訪問看護ステーション</t>
  </si>
  <si>
    <t>わかくさ訪問看護ステーション</t>
  </si>
  <si>
    <t>備前市西片上１１２２番地</t>
  </si>
  <si>
    <t>サンズナースステーション備前</t>
  </si>
  <si>
    <t>Ｐ．Ａ．Ｃ訪問看護ステーション日生</t>
  </si>
  <si>
    <t>訪問看護ステーションＰＬＵＳ備前</t>
  </si>
  <si>
    <t>備前市西片上１３７４番地</t>
  </si>
  <si>
    <t>訪問看護ステーションあかいわ</t>
  </si>
  <si>
    <t>訪問看護ステーションあおぞら</t>
  </si>
  <si>
    <t>赤磐市桜が丘西４丁目１番１６号</t>
  </si>
  <si>
    <t>赤磐市訪問看護ステーションベル</t>
  </si>
  <si>
    <t>訪問看護ステーションさくら木</t>
  </si>
  <si>
    <t>赤磐市河本４８８番地１</t>
  </si>
  <si>
    <t>ともに　あかいわ訪問看護ステーション</t>
  </si>
  <si>
    <t>赤磐市下市３０９番地２１</t>
  </si>
  <si>
    <t>ゆーさぽ訪問看護ステーション</t>
  </si>
  <si>
    <t>和気郡和気町田原下２７</t>
  </si>
  <si>
    <t>邑久訪問看護ステーション</t>
  </si>
  <si>
    <t>訪問看護ステーションかおり</t>
  </si>
  <si>
    <t>訪問看護ステーション　ママック</t>
  </si>
  <si>
    <t>倉敷訪問看護リハビリステーションそら</t>
  </si>
  <si>
    <t>さつきの里訪問看護ステーション</t>
  </si>
  <si>
    <t>訪問看護リハビリステーションほのか浅口</t>
  </si>
  <si>
    <t>金光病院訪問看護ステーション</t>
  </si>
  <si>
    <t>浅口市金光町占見新田740</t>
  </si>
  <si>
    <t>在宅ケアサービスステーションやかげ</t>
  </si>
  <si>
    <t>高梁市国民健康保険成羽病院訪問看護ステーション</t>
  </si>
  <si>
    <t>みどり訪問看護ステーション</t>
  </si>
  <si>
    <t>真庭市訪問看護ステーション</t>
  </si>
  <si>
    <t>真庭市下湯原５６</t>
  </si>
  <si>
    <t>訪問看護ステーションわたぼうし</t>
  </si>
  <si>
    <t>訪問看護ステーションゆうあい</t>
  </si>
  <si>
    <t>おちあい訪問看護ステーション</t>
  </si>
  <si>
    <t>真庭市落合垂水２５１番地</t>
  </si>
  <si>
    <t>訪問看護ひのき</t>
  </si>
  <si>
    <t>苫田郡鏡野町吉原３０６</t>
  </si>
  <si>
    <t>かも訪問看護ステーション</t>
  </si>
  <si>
    <t>さとう記念病院訪問看護ステーション</t>
  </si>
  <si>
    <t>訪問看護ステーションみらい</t>
  </si>
  <si>
    <t>訪問看護ステーション田尻</t>
  </si>
  <si>
    <t>介護医療院　みずいちリハビリ苑</t>
  </si>
  <si>
    <t>介護医療院サンホームつやま</t>
  </si>
  <si>
    <t>介護医療院　くじば苑</t>
  </si>
  <si>
    <t>北川病院介護医療院</t>
  </si>
  <si>
    <t>国定病院介護医療院</t>
  </si>
  <si>
    <t>浅口郡里庄町大字浜中９３番地１４１</t>
  </si>
  <si>
    <t>介護医療院わたぼうし</t>
  </si>
  <si>
    <t>真庭市本郷１８１９番地</t>
  </si>
  <si>
    <t>介護医療院　河本医院</t>
  </si>
  <si>
    <t>介護医療院　わかば</t>
  </si>
  <si>
    <t>介護医療院　美作中央病院</t>
  </si>
  <si>
    <t>介護医療院ルミエール</t>
  </si>
  <si>
    <t>NO</t>
    <phoneticPr fontId="18"/>
  </si>
  <si>
    <t>難病指定医療機関（病院・診療所・介護医療院）</t>
  </si>
  <si>
    <t>難病指定医療機関（薬局）</t>
  </si>
  <si>
    <t>難病指定医療機関（訪問看護ステーション等）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</si>
</sst>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5"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14086E-E262-4A73-8942-8EFFFF47576F}" name="テーブル病院" displayName="テーブル病院" ref="A3:E694" totalsRowShown="0">
  <autoFilter ref="A3:E694" xr:uid="{7E14086E-E262-4A73-8942-8EFFFF47576F}"/>
  <tableColumns count="5">
    <tableColumn id="1" xr3:uid="{28DE027A-E8F9-4B6F-8069-A3128FF621C8}" name="NO" dataDxfId="4"/>
    <tableColumn id="2" xr3:uid="{D2B43178-AF01-48FC-8827-72F90C30D84A}" name="名称" dataDxfId="5"/>
    <tableColumn id="3" xr3:uid="{82B26FF6-C56C-433E-8580-D5F505B87750}" name="郵便番号" dataDxfId="14"/>
    <tableColumn id="4" xr3:uid="{FCDD2D99-F5A2-4D5C-B8DE-562B5A253FD0}" name="住所" dataDxfId="12"/>
    <tableColumn id="5" xr3:uid="{9FE25ADE-EF1B-45BA-A43D-10B4387F3461}" name="指定有効終了日" dataDxfId="13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EB1B42D-4F43-4132-BC93-94B4E2BDAE6D}" name="テーブル薬局" displayName="テーブル薬局" ref="A3:E473" totalsRowShown="0">
  <autoFilter ref="A3:E473" xr:uid="{4EB1B42D-4F43-4132-BC93-94B4E2BDAE6D}"/>
  <tableColumns count="5">
    <tableColumn id="1" xr3:uid="{34C5F2E5-F81F-4A26-B5B5-B7512857BC5E}" name="NO" dataDxfId="2"/>
    <tableColumn id="2" xr3:uid="{10592849-EAED-433B-B04A-83FA653CE2D7}" name="名称" dataDxfId="3"/>
    <tableColumn id="3" xr3:uid="{2FD39AD6-5128-4833-909A-E4C733CEF17C}" name="郵便番号" dataDxfId="11"/>
    <tableColumn id="4" xr3:uid="{C4C99C97-703C-4C56-8174-2E5BF57126BF}" name="住所" dataDxfId="9"/>
    <tableColumn id="5" xr3:uid="{F80D5303-1615-43E9-8586-1E0D117AF4B2}" name="指定有効終了日" dataDxfId="1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F47B8B5-D817-4422-871B-1746510CDDFC}" name="テーブル訪問看護" displayName="テーブル訪問看護" ref="A3:E124" totalsRowShown="0">
  <autoFilter ref="A3:E124" xr:uid="{AF47B8B5-D817-4422-871B-1746510CDDFC}"/>
  <tableColumns count="5">
    <tableColumn id="1" xr3:uid="{8823B181-8DE4-4D2A-9384-14D5BD05B614}" name="NO" dataDxfId="0"/>
    <tableColumn id="2" xr3:uid="{942AA1AD-C7A1-421C-96E5-E4A1D0E91608}" name="名称" dataDxfId="1"/>
    <tableColumn id="3" xr3:uid="{6C1B470D-3BF0-4217-AB06-664733BFCCFE}" name="郵便番号" dataDxfId="8"/>
    <tableColumn id="4" xr3:uid="{990417DD-1A04-48C6-8A05-13810D2C6BCD}" name="住所" dataDxfId="6"/>
    <tableColumn id="5" xr3:uid="{2ECB55FA-D3C2-4542-BE0A-E00C02F27B55}" name="指定有効終了日" dataDxfId="7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F52F9-138C-48A5-8542-7494B9FDD6C8}">
  <dimension ref="A1:E694"/>
  <sheetViews>
    <sheetView tabSelected="1" workbookViewId="0">
      <selection activeCell="D699" sqref="D699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1689</v>
      </c>
      <c r="B1" s="4"/>
      <c r="C1" s="4"/>
      <c r="D1" s="4"/>
      <c r="E1" s="4"/>
    </row>
    <row r="2" spans="1:5" ht="30" customHeight="1" x14ac:dyDescent="0.4">
      <c r="E2" s="5">
        <v>46082</v>
      </c>
    </row>
    <row r="3" spans="1:5" ht="30" customHeight="1" x14ac:dyDescent="0.4">
      <c r="A3" s="3" t="s">
        <v>1688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177</v>
      </c>
      <c r="C4" s="2" t="str">
        <f>"710-0141"</f>
        <v>710-0141</v>
      </c>
      <c r="D4" s="2" t="s">
        <v>178</v>
      </c>
      <c r="E4" s="1">
        <v>46387</v>
      </c>
    </row>
    <row r="5" spans="1:5" ht="30" customHeight="1" x14ac:dyDescent="0.4">
      <c r="A5" s="3">
        <v>2</v>
      </c>
      <c r="B5" s="2" t="s">
        <v>302</v>
      </c>
      <c r="C5" s="2" t="str">
        <f>"710-0834"</f>
        <v>710-0834</v>
      </c>
      <c r="D5" s="2" t="s">
        <v>303</v>
      </c>
      <c r="E5" s="1">
        <v>46387</v>
      </c>
    </row>
    <row r="6" spans="1:5" ht="30" customHeight="1" x14ac:dyDescent="0.4">
      <c r="A6" s="3">
        <v>3</v>
      </c>
      <c r="B6" s="2" t="s">
        <v>198</v>
      </c>
      <c r="C6" s="2" t="str">
        <f>"712-8063"</f>
        <v>712-8063</v>
      </c>
      <c r="D6" s="2" t="s">
        <v>199</v>
      </c>
      <c r="E6" s="1">
        <v>46387</v>
      </c>
    </row>
    <row r="7" spans="1:5" ht="30" customHeight="1" x14ac:dyDescent="0.4">
      <c r="A7" s="3">
        <v>4</v>
      </c>
      <c r="B7" s="2" t="s">
        <v>50</v>
      </c>
      <c r="C7" s="2" t="str">
        <f>"710-0051"</f>
        <v>710-0051</v>
      </c>
      <c r="D7" s="2" t="s">
        <v>51</v>
      </c>
      <c r="E7" s="1">
        <v>46387</v>
      </c>
    </row>
    <row r="8" spans="1:5" ht="30" customHeight="1" x14ac:dyDescent="0.4">
      <c r="A8" s="3">
        <v>5</v>
      </c>
      <c r="B8" s="2" t="s">
        <v>46</v>
      </c>
      <c r="C8" s="2" t="str">
        <f>"710-0253"</f>
        <v>710-0253</v>
      </c>
      <c r="D8" s="2" t="s">
        <v>47</v>
      </c>
      <c r="E8" s="1">
        <v>46387</v>
      </c>
    </row>
    <row r="9" spans="1:5" ht="30" customHeight="1" x14ac:dyDescent="0.4">
      <c r="A9" s="3">
        <v>6</v>
      </c>
      <c r="B9" s="2" t="s">
        <v>131</v>
      </c>
      <c r="C9" s="2" t="str">
        <f>"711-0921"</f>
        <v>711-0921</v>
      </c>
      <c r="D9" s="2" t="str">
        <f>"倉敷市児島駅前1-103"</f>
        <v>倉敷市児島駅前1-103</v>
      </c>
      <c r="E9" s="1">
        <v>47118</v>
      </c>
    </row>
    <row r="10" spans="1:5" ht="30" customHeight="1" x14ac:dyDescent="0.4">
      <c r="A10" s="3">
        <v>7</v>
      </c>
      <c r="B10" s="2" t="s">
        <v>35</v>
      </c>
      <c r="C10" s="2" t="str">
        <f>"710-0014"</f>
        <v>710-0014</v>
      </c>
      <c r="D10" s="2" t="str">
        <f>"倉敷市黒崎２５－１"</f>
        <v>倉敷市黒崎２５－１</v>
      </c>
      <c r="E10" s="1">
        <v>46387</v>
      </c>
    </row>
    <row r="11" spans="1:5" ht="30" customHeight="1" x14ac:dyDescent="0.4">
      <c r="A11" s="3">
        <v>8</v>
      </c>
      <c r="B11" s="2" t="s">
        <v>29</v>
      </c>
      <c r="C11" s="2" t="str">
        <f>"710-0834"</f>
        <v>710-0834</v>
      </c>
      <c r="D11" s="2" t="str">
        <f>"倉敷市笹沖４７４－４"</f>
        <v>倉敷市笹沖４７４－４</v>
      </c>
      <c r="E11" s="1">
        <v>46387</v>
      </c>
    </row>
    <row r="12" spans="1:5" ht="30" customHeight="1" x14ac:dyDescent="0.4">
      <c r="A12" s="3">
        <v>9</v>
      </c>
      <c r="B12" s="2" t="s">
        <v>147</v>
      </c>
      <c r="C12" s="2" t="str">
        <f>"710-0024"</f>
        <v>710-0024</v>
      </c>
      <c r="D12" s="2" t="s">
        <v>148</v>
      </c>
      <c r="E12" s="1">
        <v>46387</v>
      </c>
    </row>
    <row r="13" spans="1:5" ht="30" customHeight="1" x14ac:dyDescent="0.4">
      <c r="A13" s="3">
        <v>10</v>
      </c>
      <c r="B13" s="2" t="s">
        <v>223</v>
      </c>
      <c r="C13" s="2" t="str">
        <f>"710-0803"</f>
        <v>710-0803</v>
      </c>
      <c r="D13" s="2" t="str">
        <f>"倉敷市中島４７０－２"</f>
        <v>倉敷市中島４７０－２</v>
      </c>
      <c r="E13" s="1">
        <v>46752</v>
      </c>
    </row>
    <row r="14" spans="1:5" ht="30" customHeight="1" x14ac:dyDescent="0.4">
      <c r="A14" s="3">
        <v>11</v>
      </c>
      <c r="B14" s="2" t="s">
        <v>899</v>
      </c>
      <c r="C14" s="2" t="str">
        <f>"710-0803"</f>
        <v>710-0803</v>
      </c>
      <c r="D14" s="2" t="str">
        <f>"倉敷市中島７９７－２"</f>
        <v>倉敷市中島７９７－２</v>
      </c>
      <c r="E14" s="1">
        <v>47848</v>
      </c>
    </row>
    <row r="15" spans="1:5" ht="30" customHeight="1" x14ac:dyDescent="0.4">
      <c r="A15" s="3">
        <v>12</v>
      </c>
      <c r="B15" s="2" t="s">
        <v>184</v>
      </c>
      <c r="C15" s="2" t="str">
        <f>"711-0906"</f>
        <v>711-0906</v>
      </c>
      <c r="D15" s="2" t="str">
        <f>"倉敷市児島下の町７丁目４－９"</f>
        <v>倉敷市児島下の町７丁目４－９</v>
      </c>
      <c r="E15" s="1">
        <v>46387</v>
      </c>
    </row>
    <row r="16" spans="1:5" ht="30" customHeight="1" x14ac:dyDescent="0.4">
      <c r="A16" s="3">
        <v>13</v>
      </c>
      <c r="B16" s="2" t="s">
        <v>216</v>
      </c>
      <c r="C16" s="2" t="str">
        <f>"710-0844"</f>
        <v>710-0844</v>
      </c>
      <c r="D16" s="2" t="str">
        <f>"倉敷市福井１４－１"</f>
        <v>倉敷市福井１４－１</v>
      </c>
      <c r="E16" s="1">
        <v>46387</v>
      </c>
    </row>
    <row r="17" spans="1:5" ht="30" customHeight="1" x14ac:dyDescent="0.4">
      <c r="A17" s="3">
        <v>14</v>
      </c>
      <c r="B17" s="2" t="s">
        <v>913</v>
      </c>
      <c r="C17" s="2" t="str">
        <f>"713-8125"</f>
        <v>713-8125</v>
      </c>
      <c r="D17" s="2" t="s">
        <v>914</v>
      </c>
      <c r="E17" s="1">
        <v>47848</v>
      </c>
    </row>
    <row r="18" spans="1:5" ht="30" customHeight="1" x14ac:dyDescent="0.4">
      <c r="A18" s="3">
        <v>15</v>
      </c>
      <c r="B18" s="2" t="s">
        <v>218</v>
      </c>
      <c r="C18" s="2" t="str">
        <f>"710-0052"</f>
        <v>710-0052</v>
      </c>
      <c r="D18" s="2" t="str">
        <f>"倉敷市美和２丁目１３－９"</f>
        <v>倉敷市美和２丁目１３－９</v>
      </c>
      <c r="E18" s="1">
        <v>46387</v>
      </c>
    </row>
    <row r="19" spans="1:5" ht="30" customHeight="1" x14ac:dyDescent="0.4">
      <c r="A19" s="3">
        <v>16</v>
      </c>
      <c r="B19" s="2" t="s">
        <v>208</v>
      </c>
      <c r="C19" s="2" t="str">
        <f>"713-8123"</f>
        <v>713-8123</v>
      </c>
      <c r="D19" s="2" t="s">
        <v>209</v>
      </c>
      <c r="E19" s="1">
        <v>46387</v>
      </c>
    </row>
    <row r="20" spans="1:5" ht="30" customHeight="1" x14ac:dyDescent="0.4">
      <c r="A20" s="3">
        <v>17</v>
      </c>
      <c r="B20" s="2" t="s">
        <v>891</v>
      </c>
      <c r="C20" s="2" t="str">
        <f>"701-0103"</f>
        <v>701-0103</v>
      </c>
      <c r="D20" s="2" t="str">
        <f>"倉敷市西尾１３７－１"</f>
        <v>倉敷市西尾１３７－１</v>
      </c>
      <c r="E20" s="1">
        <v>46387</v>
      </c>
    </row>
    <row r="21" spans="1:5" ht="30" customHeight="1" x14ac:dyDescent="0.4">
      <c r="A21" s="3">
        <v>18</v>
      </c>
      <c r="B21" s="2" t="s">
        <v>160</v>
      </c>
      <c r="C21" s="2" t="str">
        <f>"712-8014"</f>
        <v>712-8014</v>
      </c>
      <c r="D21" s="2" t="str">
        <f>"倉敷市連島中央５丁目７－１８"</f>
        <v>倉敷市連島中央５丁目７－１８</v>
      </c>
      <c r="E21" s="1">
        <v>46387</v>
      </c>
    </row>
    <row r="22" spans="1:5" ht="30" customHeight="1" x14ac:dyDescent="0.4">
      <c r="A22" s="3">
        <v>19</v>
      </c>
      <c r="B22" s="2" t="s">
        <v>32</v>
      </c>
      <c r="C22" s="2" t="str">
        <f>"713-8101"</f>
        <v>713-8101</v>
      </c>
      <c r="D22" s="2" t="str">
        <f>"倉敷市玉島上成５３８－１５"</f>
        <v>倉敷市玉島上成５３８－１５</v>
      </c>
      <c r="E22" s="1">
        <v>46387</v>
      </c>
    </row>
    <row r="23" spans="1:5" ht="30" customHeight="1" x14ac:dyDescent="0.4">
      <c r="A23" s="3">
        <v>20</v>
      </c>
      <c r="B23" s="2" t="s">
        <v>136</v>
      </c>
      <c r="C23" s="2" t="str">
        <f>"710-0142"</f>
        <v>710-0142</v>
      </c>
      <c r="D23" s="2" t="s">
        <v>137</v>
      </c>
      <c r="E23" s="1">
        <v>46387</v>
      </c>
    </row>
    <row r="24" spans="1:5" ht="30" customHeight="1" x14ac:dyDescent="0.4">
      <c r="A24" s="3">
        <v>21</v>
      </c>
      <c r="B24" s="2" t="s">
        <v>215</v>
      </c>
      <c r="C24" s="2" t="str">
        <f>"710-0011"</f>
        <v>710-0011</v>
      </c>
      <c r="D24" s="2" t="str">
        <f>"倉敷市徳芳１０９－１"</f>
        <v>倉敷市徳芳１０９－１</v>
      </c>
      <c r="E24" s="1">
        <v>46387</v>
      </c>
    </row>
    <row r="25" spans="1:5" ht="30" customHeight="1" x14ac:dyDescent="0.4">
      <c r="A25" s="3">
        <v>22</v>
      </c>
      <c r="B25" s="2" t="s">
        <v>900</v>
      </c>
      <c r="C25" s="2" t="str">
        <f>"710-0251"</f>
        <v>710-0251</v>
      </c>
      <c r="D25" s="2" t="str">
        <f>"倉敷市玉島長尾２９９７－３"</f>
        <v>倉敷市玉島長尾２９９７－３</v>
      </c>
      <c r="E25" s="1">
        <v>47483</v>
      </c>
    </row>
    <row r="26" spans="1:5" ht="30" customHeight="1" x14ac:dyDescent="0.4">
      <c r="A26" s="3">
        <v>23</v>
      </c>
      <c r="B26" s="2" t="s">
        <v>255</v>
      </c>
      <c r="C26" s="2" t="str">
        <f>"701-0111"</f>
        <v>701-0111</v>
      </c>
      <c r="D26" s="2" t="str">
        <f>"倉敷市上東１０５６－１"</f>
        <v>倉敷市上東１０５６－１</v>
      </c>
      <c r="E26" s="1">
        <v>46387</v>
      </c>
    </row>
    <row r="27" spans="1:5" ht="30" customHeight="1" x14ac:dyDescent="0.4">
      <c r="A27" s="3">
        <v>24</v>
      </c>
      <c r="B27" s="2" t="s">
        <v>149</v>
      </c>
      <c r="C27" s="2" t="str">
        <f>"713-8113"</f>
        <v>713-8113</v>
      </c>
      <c r="D27" s="2" t="s">
        <v>150</v>
      </c>
      <c r="E27" s="1">
        <v>46387</v>
      </c>
    </row>
    <row r="28" spans="1:5" ht="30" customHeight="1" x14ac:dyDescent="0.4">
      <c r="A28" s="3">
        <v>25</v>
      </c>
      <c r="B28" s="2" t="s">
        <v>961</v>
      </c>
      <c r="C28" s="2" t="str">
        <f>"710-1313"</f>
        <v>710-1313</v>
      </c>
      <c r="D28" s="2" t="str">
        <f>"倉敷市真備町川辺８９４－１"</f>
        <v>倉敷市真備町川辺８９４－１</v>
      </c>
      <c r="E28" s="1">
        <v>48213</v>
      </c>
    </row>
    <row r="29" spans="1:5" ht="30" customHeight="1" x14ac:dyDescent="0.4">
      <c r="A29" s="3">
        <v>26</v>
      </c>
      <c r="B29" s="2" t="s">
        <v>234</v>
      </c>
      <c r="C29" s="2" t="str">
        <f>"710-0065"</f>
        <v>710-0065</v>
      </c>
      <c r="D29" s="2" t="str">
        <f>"倉敷市宮前３５０－１"</f>
        <v>倉敷市宮前３５０－１</v>
      </c>
      <c r="E29" s="1">
        <v>46387</v>
      </c>
    </row>
    <row r="30" spans="1:5" ht="30" customHeight="1" x14ac:dyDescent="0.4">
      <c r="A30" s="3">
        <v>27</v>
      </c>
      <c r="B30" s="2" t="s">
        <v>296</v>
      </c>
      <c r="C30" s="2" t="str">
        <f>"710-0835"</f>
        <v>710-0835</v>
      </c>
      <c r="D30" s="2" t="str">
        <f>"倉敷市四十瀬２９８－５"</f>
        <v>倉敷市四十瀬２９８－５</v>
      </c>
      <c r="E30" s="1">
        <v>46752</v>
      </c>
    </row>
    <row r="31" spans="1:5" ht="30" customHeight="1" x14ac:dyDescent="0.4">
      <c r="A31" s="3">
        <v>28</v>
      </c>
      <c r="B31" s="2" t="s">
        <v>166</v>
      </c>
      <c r="C31" s="2" t="str">
        <f>"701-0114"</f>
        <v>701-0114</v>
      </c>
      <c r="D31" s="2" t="str">
        <f>"倉敷市松島１１５４－２"</f>
        <v>倉敷市松島１１５４－２</v>
      </c>
      <c r="E31" s="1">
        <v>46387</v>
      </c>
    </row>
    <row r="32" spans="1:5" ht="30" customHeight="1" x14ac:dyDescent="0.4">
      <c r="A32" s="3">
        <v>29</v>
      </c>
      <c r="B32" s="2" t="s">
        <v>315</v>
      </c>
      <c r="C32" s="2" t="str">
        <f>"701-0112"</f>
        <v>701-0112</v>
      </c>
      <c r="D32" s="2" t="str">
        <f>"倉敷市下庄４５５－１"</f>
        <v>倉敷市下庄４５５－１</v>
      </c>
      <c r="E32" s="1">
        <v>47483</v>
      </c>
    </row>
    <row r="33" spans="1:5" ht="30" customHeight="1" x14ac:dyDescent="0.4">
      <c r="A33" s="3">
        <v>30</v>
      </c>
      <c r="B33" s="2" t="s">
        <v>156</v>
      </c>
      <c r="C33" s="2" t="str">
        <f>"711-0906"</f>
        <v>711-0906</v>
      </c>
      <c r="D33" s="2" t="str">
        <f>"倉敷市児島下の町５－２－１７"</f>
        <v>倉敷市児島下の町５－２－１７</v>
      </c>
      <c r="E33" s="1">
        <v>46387</v>
      </c>
    </row>
    <row r="34" spans="1:5" ht="30" customHeight="1" x14ac:dyDescent="0.4">
      <c r="A34" s="3">
        <v>31</v>
      </c>
      <c r="B34" s="2" t="s">
        <v>57</v>
      </c>
      <c r="C34" s="2" t="str">
        <f>"712-8051"</f>
        <v>712-8051</v>
      </c>
      <c r="D34" s="2" t="str">
        <f>"倉敷市中畝２－８－２１"</f>
        <v>倉敷市中畝２－８－２１</v>
      </c>
      <c r="E34" s="1">
        <v>47483</v>
      </c>
    </row>
    <row r="35" spans="1:5" ht="30" customHeight="1" x14ac:dyDescent="0.4">
      <c r="A35" s="3">
        <v>32</v>
      </c>
      <c r="B35" s="2" t="s">
        <v>74</v>
      </c>
      <c r="C35" s="2" t="str">
        <f>"701-0114"</f>
        <v>701-0114</v>
      </c>
      <c r="D35" s="2" t="str">
        <f>"倉敷市松島1152-19"</f>
        <v>倉敷市松島1152-19</v>
      </c>
      <c r="E35" s="1">
        <v>46752</v>
      </c>
    </row>
    <row r="36" spans="1:5" ht="30" customHeight="1" x14ac:dyDescent="0.4">
      <c r="A36" s="3">
        <v>33</v>
      </c>
      <c r="B36" s="2" t="s">
        <v>185</v>
      </c>
      <c r="C36" s="2" t="str">
        <f>"711-0903"</f>
        <v>711-0903</v>
      </c>
      <c r="D36" s="2" t="str">
        <f>"倉敷市児島田の口３－８－３０"</f>
        <v>倉敷市児島田の口３－８－３０</v>
      </c>
      <c r="E36" s="1">
        <v>46387</v>
      </c>
    </row>
    <row r="37" spans="1:5" ht="30" customHeight="1" x14ac:dyDescent="0.4">
      <c r="A37" s="3">
        <v>34</v>
      </c>
      <c r="B37" s="2" t="s">
        <v>237</v>
      </c>
      <c r="C37" s="2" t="str">
        <f>"711-0937"</f>
        <v>711-0937</v>
      </c>
      <c r="D37" s="2" t="str">
        <f>"倉敷市児島稗田町１９５７－１"</f>
        <v>倉敷市児島稗田町１９５７－１</v>
      </c>
      <c r="E37" s="1">
        <v>46387</v>
      </c>
    </row>
    <row r="38" spans="1:5" ht="30" customHeight="1" x14ac:dyDescent="0.4">
      <c r="A38" s="3">
        <v>35</v>
      </c>
      <c r="B38" s="2" t="s">
        <v>127</v>
      </c>
      <c r="C38" s="2" t="str">
        <f>"711-0937"</f>
        <v>711-0937</v>
      </c>
      <c r="D38" s="2" t="s">
        <v>128</v>
      </c>
      <c r="E38" s="1">
        <v>46387</v>
      </c>
    </row>
    <row r="39" spans="1:5" ht="30" customHeight="1" x14ac:dyDescent="0.4">
      <c r="A39" s="3">
        <v>36</v>
      </c>
      <c r="B39" s="2" t="s">
        <v>284</v>
      </c>
      <c r="C39" s="2" t="str">
        <f>"701-0112"</f>
        <v>701-0112</v>
      </c>
      <c r="D39" s="2" t="str">
        <f>"倉敷市下庄４４１－１"</f>
        <v>倉敷市下庄４４１－１</v>
      </c>
      <c r="E39" s="1">
        <v>46387</v>
      </c>
    </row>
    <row r="40" spans="1:5" ht="30" customHeight="1" x14ac:dyDescent="0.4">
      <c r="A40" s="3">
        <v>37</v>
      </c>
      <c r="B40" s="2" t="s">
        <v>55</v>
      </c>
      <c r="C40" s="2" t="str">
        <f>"710-0802"</f>
        <v>710-0802</v>
      </c>
      <c r="D40" s="2" t="str">
        <f>"倉敷市水江1029-1"</f>
        <v>倉敷市水江1029-1</v>
      </c>
      <c r="E40" s="1">
        <v>47118</v>
      </c>
    </row>
    <row r="41" spans="1:5" ht="30" customHeight="1" x14ac:dyDescent="0.4">
      <c r="A41" s="3">
        <v>38</v>
      </c>
      <c r="B41" s="2" t="s">
        <v>300</v>
      </c>
      <c r="C41" s="2" t="str">
        <f>"710-0023"</f>
        <v>710-0023</v>
      </c>
      <c r="D41" s="2" t="s">
        <v>66</v>
      </c>
      <c r="E41" s="1">
        <v>48213</v>
      </c>
    </row>
    <row r="42" spans="1:5" ht="30" customHeight="1" x14ac:dyDescent="0.4">
      <c r="A42" s="3">
        <v>39</v>
      </c>
      <c r="B42" s="2" t="s">
        <v>201</v>
      </c>
      <c r="C42" s="2" t="str">
        <f>"710-0132"</f>
        <v>710-0132</v>
      </c>
      <c r="D42" s="2" t="s">
        <v>202</v>
      </c>
      <c r="E42" s="1">
        <v>46387</v>
      </c>
    </row>
    <row r="43" spans="1:5" ht="30" customHeight="1" x14ac:dyDescent="0.4">
      <c r="A43" s="3">
        <v>40</v>
      </c>
      <c r="B43" s="2" t="s">
        <v>4</v>
      </c>
      <c r="C43" s="2" t="str">
        <f>"713-8102"</f>
        <v>713-8102</v>
      </c>
      <c r="D43" s="2" t="str">
        <f>"倉敷市玉島１－７－１０"</f>
        <v>倉敷市玉島１－７－１０</v>
      </c>
      <c r="E43" s="1">
        <v>46387</v>
      </c>
    </row>
    <row r="44" spans="1:5" ht="30" customHeight="1" x14ac:dyDescent="0.4">
      <c r="A44" s="3">
        <v>41</v>
      </c>
      <c r="B44" s="2" t="s">
        <v>140</v>
      </c>
      <c r="C44" s="2" t="str">
        <f>"713-8113"</f>
        <v>713-8113</v>
      </c>
      <c r="D44" s="2" t="s">
        <v>141</v>
      </c>
      <c r="E44" s="1">
        <v>46387</v>
      </c>
    </row>
    <row r="45" spans="1:5" ht="30" customHeight="1" x14ac:dyDescent="0.4">
      <c r="A45" s="3">
        <v>42</v>
      </c>
      <c r="B45" s="2" t="s">
        <v>897</v>
      </c>
      <c r="C45" s="2" t="str">
        <f>"710-0802"</f>
        <v>710-0802</v>
      </c>
      <c r="D45" s="2" t="str">
        <f>"倉敷市水江１４１９－２－２"</f>
        <v>倉敷市水江１４１９－２－２</v>
      </c>
      <c r="E45" s="1">
        <v>47848</v>
      </c>
    </row>
    <row r="46" spans="1:5" ht="30" customHeight="1" x14ac:dyDescent="0.4">
      <c r="A46" s="3">
        <v>43</v>
      </c>
      <c r="B46" s="2" t="s">
        <v>1676</v>
      </c>
      <c r="C46" s="2" t="str">
        <f>"712-8061"</f>
        <v>712-8061</v>
      </c>
      <c r="D46" s="2" t="s">
        <v>95</v>
      </c>
      <c r="E46" s="1">
        <v>47848</v>
      </c>
    </row>
    <row r="47" spans="1:5" ht="30" customHeight="1" x14ac:dyDescent="0.4">
      <c r="A47" s="3">
        <v>44</v>
      </c>
      <c r="B47" s="2" t="s">
        <v>301</v>
      </c>
      <c r="C47" s="2" t="str">
        <f>"710-0813"</f>
        <v>710-0813</v>
      </c>
      <c r="D47" s="2" t="str">
        <f>"倉敷市寿町１－２６　マツダパーキングビル１Ｆ"</f>
        <v>倉敷市寿町１－２６　マツダパーキングビル１Ｆ</v>
      </c>
      <c r="E47" s="1">
        <v>46387</v>
      </c>
    </row>
    <row r="48" spans="1:5" ht="30" customHeight="1" x14ac:dyDescent="0.4">
      <c r="A48" s="3">
        <v>45</v>
      </c>
      <c r="B48" s="2" t="s">
        <v>244</v>
      </c>
      <c r="C48" s="2" t="str">
        <f>"711-0906"</f>
        <v>711-0906</v>
      </c>
      <c r="D48" s="2" t="s">
        <v>245</v>
      </c>
      <c r="E48" s="1">
        <v>46387</v>
      </c>
    </row>
    <row r="49" spans="1:5" ht="30" customHeight="1" x14ac:dyDescent="0.4">
      <c r="A49" s="3">
        <v>46</v>
      </c>
      <c r="B49" s="2" t="s">
        <v>71</v>
      </c>
      <c r="C49" s="2" t="str">
        <f>"710-0055"</f>
        <v>710-0055</v>
      </c>
      <c r="D49" s="2" t="str">
        <f>"倉敷市阿知３丁目１３－１オールファーマシータウン２Ｆ"</f>
        <v>倉敷市阿知３丁目１３－１オールファーマシータウン２Ｆ</v>
      </c>
      <c r="E49" s="1">
        <v>46387</v>
      </c>
    </row>
    <row r="50" spans="1:5" ht="30" customHeight="1" x14ac:dyDescent="0.4">
      <c r="A50" s="3">
        <v>47</v>
      </c>
      <c r="B50" s="2" t="s">
        <v>291</v>
      </c>
      <c r="C50" s="2" t="str">
        <f>"701-0115"</f>
        <v>701-0115</v>
      </c>
      <c r="D50" s="2" t="s">
        <v>292</v>
      </c>
      <c r="E50" s="1">
        <v>46387</v>
      </c>
    </row>
    <row r="51" spans="1:5" ht="30" customHeight="1" x14ac:dyDescent="0.4">
      <c r="A51" s="3">
        <v>48</v>
      </c>
      <c r="B51" s="2" t="s">
        <v>318</v>
      </c>
      <c r="C51" s="2" t="str">
        <f>"710-0253"</f>
        <v>710-0253</v>
      </c>
      <c r="D51" s="2" t="s">
        <v>319</v>
      </c>
      <c r="E51" s="1">
        <v>47483</v>
      </c>
    </row>
    <row r="52" spans="1:5" ht="30" customHeight="1" x14ac:dyDescent="0.4">
      <c r="A52" s="3">
        <v>49</v>
      </c>
      <c r="B52" s="2" t="s">
        <v>890</v>
      </c>
      <c r="C52" s="2" t="str">
        <f>"710-0837"</f>
        <v>710-0837</v>
      </c>
      <c r="D52" s="2" t="str">
        <f>"倉敷市沖新町９０－１"</f>
        <v>倉敷市沖新町９０－１</v>
      </c>
      <c r="E52" s="1">
        <v>46387</v>
      </c>
    </row>
    <row r="53" spans="1:5" ht="30" customHeight="1" x14ac:dyDescent="0.4">
      <c r="A53" s="3">
        <v>50</v>
      </c>
      <c r="B53" s="2" t="s">
        <v>104</v>
      </c>
      <c r="C53" s="2" t="str">
        <f>"701-0192"</f>
        <v>701-0192</v>
      </c>
      <c r="D53" s="2" t="s">
        <v>105</v>
      </c>
      <c r="E53" s="1">
        <v>46387</v>
      </c>
    </row>
    <row r="54" spans="1:5" ht="30" customHeight="1" x14ac:dyDescent="0.4">
      <c r="A54" s="3">
        <v>51</v>
      </c>
      <c r="B54" s="2" t="s">
        <v>306</v>
      </c>
      <c r="C54" s="2" t="str">
        <f>"710-0802"</f>
        <v>710-0802</v>
      </c>
      <c r="D54" s="2" t="str">
        <f>"倉敷市水江1186-3"</f>
        <v>倉敷市水江1186-3</v>
      </c>
      <c r="E54" s="1">
        <v>46752</v>
      </c>
    </row>
    <row r="55" spans="1:5" ht="30" customHeight="1" x14ac:dyDescent="0.4">
      <c r="A55" s="3">
        <v>52</v>
      </c>
      <c r="B55" s="2" t="s">
        <v>181</v>
      </c>
      <c r="C55" s="2" t="str">
        <f>"713-8103"</f>
        <v>713-8103</v>
      </c>
      <c r="D55" s="2" t="str">
        <f>"倉敷市玉島乙島６８６１－１"</f>
        <v>倉敷市玉島乙島６８６１－１</v>
      </c>
      <c r="E55" s="1">
        <v>46387</v>
      </c>
    </row>
    <row r="56" spans="1:5" ht="30" customHeight="1" x14ac:dyDescent="0.4">
      <c r="A56" s="3">
        <v>53</v>
      </c>
      <c r="B56" s="2" t="s">
        <v>893</v>
      </c>
      <c r="C56" s="2" t="str">
        <f>"710-0253"</f>
        <v>710-0253</v>
      </c>
      <c r="D56" s="2" t="str">
        <f>"倉敷市新倉敷駅前２－１３"</f>
        <v>倉敷市新倉敷駅前２－１３</v>
      </c>
      <c r="E56" s="1">
        <v>47848</v>
      </c>
    </row>
    <row r="57" spans="1:5" ht="30" customHeight="1" x14ac:dyDescent="0.4">
      <c r="A57" s="3">
        <v>54</v>
      </c>
      <c r="B57" s="2" t="s">
        <v>233</v>
      </c>
      <c r="C57" s="2" t="str">
        <f>"712-8046"</f>
        <v>712-8046</v>
      </c>
      <c r="D57" s="2" t="str">
        <f>"倉敷市福田町古新田１０５２－１"</f>
        <v>倉敷市福田町古新田１０５２－１</v>
      </c>
      <c r="E57" s="1">
        <v>46387</v>
      </c>
    </row>
    <row r="58" spans="1:5" ht="30" customHeight="1" x14ac:dyDescent="0.4">
      <c r="A58" s="3">
        <v>55</v>
      </c>
      <c r="B58" s="2" t="s">
        <v>254</v>
      </c>
      <c r="C58" s="2" t="str">
        <f>"710-1313"</f>
        <v>710-1313</v>
      </c>
      <c r="D58" s="2" t="str">
        <f>"倉敷市真備町川辺１０２－１"</f>
        <v>倉敷市真備町川辺１０２－１</v>
      </c>
      <c r="E58" s="1">
        <v>46387</v>
      </c>
    </row>
    <row r="59" spans="1:5" ht="30" customHeight="1" x14ac:dyDescent="0.4">
      <c r="A59" s="3">
        <v>56</v>
      </c>
      <c r="B59" s="2" t="s">
        <v>49</v>
      </c>
      <c r="C59" s="2" t="str">
        <f>"710-0016"</f>
        <v>710-0016</v>
      </c>
      <c r="D59" s="2" t="str">
        <f>"倉敷市中庄１１－１"</f>
        <v>倉敷市中庄１１－１</v>
      </c>
      <c r="E59" s="1">
        <v>46387</v>
      </c>
    </row>
    <row r="60" spans="1:5" ht="30" customHeight="1" x14ac:dyDescent="0.4">
      <c r="A60" s="3">
        <v>57</v>
      </c>
      <c r="B60" s="2" t="s">
        <v>304</v>
      </c>
      <c r="C60" s="2" t="str">
        <f>"710-0253"</f>
        <v>710-0253</v>
      </c>
      <c r="D60" s="2" t="str">
        <f>"倉敷市新倉敷駅前２丁目６４－５"</f>
        <v>倉敷市新倉敷駅前２丁目６４－５</v>
      </c>
      <c r="E60" s="1">
        <v>46387</v>
      </c>
    </row>
    <row r="61" spans="1:5" ht="30" customHeight="1" x14ac:dyDescent="0.4">
      <c r="A61" s="3">
        <v>58</v>
      </c>
      <c r="B61" s="2" t="s">
        <v>122</v>
      </c>
      <c r="C61" s="2" t="str">
        <f>"710-0824"</f>
        <v>710-0824</v>
      </c>
      <c r="D61" s="2" t="str">
        <f>"倉敷市白楽町５５６－１６"</f>
        <v>倉敷市白楽町５５６－１６</v>
      </c>
      <c r="E61" s="1">
        <v>46387</v>
      </c>
    </row>
    <row r="62" spans="1:5" ht="30" customHeight="1" x14ac:dyDescent="0.4">
      <c r="A62" s="3">
        <v>59</v>
      </c>
      <c r="B62" s="2" t="s">
        <v>285</v>
      </c>
      <c r="C62" s="2" t="str">
        <f>"710-0824"</f>
        <v>710-0824</v>
      </c>
      <c r="D62" s="2" t="str">
        <f>"倉敷市白楽町556-6"</f>
        <v>倉敷市白楽町556-6</v>
      </c>
      <c r="E62" s="1">
        <v>47118</v>
      </c>
    </row>
    <row r="63" spans="1:5" ht="30" customHeight="1" x14ac:dyDescent="0.4">
      <c r="A63" s="3">
        <v>60</v>
      </c>
      <c r="B63" s="2" t="s">
        <v>907</v>
      </c>
      <c r="C63" s="2" t="str">
        <f>"701-0111"</f>
        <v>701-0111</v>
      </c>
      <c r="D63" s="2" t="str">
        <f>"倉敷市上東３５８－５"</f>
        <v>倉敷市上東３５８－５</v>
      </c>
      <c r="E63" s="1">
        <v>46387</v>
      </c>
    </row>
    <row r="64" spans="1:5" ht="30" customHeight="1" x14ac:dyDescent="0.4">
      <c r="A64" s="3">
        <v>61</v>
      </c>
      <c r="B64" s="2" t="s">
        <v>281</v>
      </c>
      <c r="C64" s="2" t="str">
        <f>"710-0145"</f>
        <v>710-0145</v>
      </c>
      <c r="D64" s="2" t="str">
        <f>"倉敷市福江１０５－１"</f>
        <v>倉敷市福江１０５－１</v>
      </c>
      <c r="E64" s="1">
        <v>47483</v>
      </c>
    </row>
    <row r="65" spans="1:5" ht="30" customHeight="1" x14ac:dyDescent="0.4">
      <c r="A65" s="3">
        <v>62</v>
      </c>
      <c r="B65" s="2" t="s">
        <v>44</v>
      </c>
      <c r="C65" s="2" t="str">
        <f>"710-0804"</f>
        <v>710-0804</v>
      </c>
      <c r="D65" s="2" t="s">
        <v>45</v>
      </c>
      <c r="E65" s="1">
        <v>46387</v>
      </c>
    </row>
    <row r="66" spans="1:5" ht="30" customHeight="1" x14ac:dyDescent="0.4">
      <c r="A66" s="3">
        <v>63</v>
      </c>
      <c r="B66" s="2" t="s">
        <v>222</v>
      </c>
      <c r="C66" s="2" t="str">
        <f>"710-0065"</f>
        <v>710-0065</v>
      </c>
      <c r="D66" s="2" t="str">
        <f>"倉敷市宮前４１－２"</f>
        <v>倉敷市宮前４１－２</v>
      </c>
      <c r="E66" s="1">
        <v>46752</v>
      </c>
    </row>
    <row r="67" spans="1:5" ht="30" customHeight="1" x14ac:dyDescent="0.4">
      <c r="A67" s="3">
        <v>64</v>
      </c>
      <c r="B67" s="2" t="s">
        <v>100</v>
      </c>
      <c r="C67" s="2" t="str">
        <f>"710-0803"</f>
        <v>710-0803</v>
      </c>
      <c r="D67" s="2" t="s">
        <v>101</v>
      </c>
      <c r="E67" s="1">
        <v>46387</v>
      </c>
    </row>
    <row r="68" spans="1:5" ht="30" customHeight="1" x14ac:dyDescent="0.4">
      <c r="A68" s="3">
        <v>65</v>
      </c>
      <c r="B68" s="2" t="s">
        <v>258</v>
      </c>
      <c r="C68" s="2" t="str">
        <f>"712-8044"</f>
        <v>712-8044</v>
      </c>
      <c r="D68" s="2" t="s">
        <v>259</v>
      </c>
      <c r="E68" s="1">
        <v>46387</v>
      </c>
    </row>
    <row r="69" spans="1:5" ht="30" customHeight="1" x14ac:dyDescent="0.4">
      <c r="A69" s="3">
        <v>66</v>
      </c>
      <c r="B69" s="2" t="s">
        <v>14</v>
      </c>
      <c r="C69" s="2" t="str">
        <f>"710-0833"</f>
        <v>710-0833</v>
      </c>
      <c r="D69" s="2" t="str">
        <f>"倉敷市西中新田２０－１"</f>
        <v>倉敷市西中新田２０－１</v>
      </c>
      <c r="E69" s="1">
        <v>47118</v>
      </c>
    </row>
    <row r="70" spans="1:5" ht="30" customHeight="1" x14ac:dyDescent="0.4">
      <c r="A70" s="3">
        <v>67</v>
      </c>
      <c r="B70" s="2" t="s">
        <v>96</v>
      </c>
      <c r="C70" s="2" t="str">
        <f>"711-0923"</f>
        <v>711-0923</v>
      </c>
      <c r="D70" s="2" t="str">
        <f>"倉敷市児島阿津２丁目７－５３"</f>
        <v>倉敷市児島阿津２丁目７－５３</v>
      </c>
      <c r="E70" s="1">
        <v>46387</v>
      </c>
    </row>
    <row r="71" spans="1:5" ht="30" customHeight="1" x14ac:dyDescent="0.4">
      <c r="A71" s="3">
        <v>68</v>
      </c>
      <c r="B71" s="2" t="s">
        <v>817</v>
      </c>
      <c r="C71" s="2" t="str">
        <f>"711-0921"</f>
        <v>711-0921</v>
      </c>
      <c r="D71" s="2" t="s">
        <v>818</v>
      </c>
      <c r="E71" s="1">
        <v>46387</v>
      </c>
    </row>
    <row r="72" spans="1:5" ht="30" customHeight="1" x14ac:dyDescent="0.4">
      <c r="A72" s="3">
        <v>69</v>
      </c>
      <c r="B72" s="2" t="s">
        <v>113</v>
      </c>
      <c r="C72" s="2" t="str">
        <f>"710-0007"</f>
        <v>710-0007</v>
      </c>
      <c r="D72" s="2" t="s">
        <v>114</v>
      </c>
      <c r="E72" s="1">
        <v>46387</v>
      </c>
    </row>
    <row r="73" spans="1:5" ht="30" customHeight="1" x14ac:dyDescent="0.4">
      <c r="A73" s="3">
        <v>70</v>
      </c>
      <c r="B73" s="2" t="s">
        <v>240</v>
      </c>
      <c r="C73" s="2" t="str">
        <f>"710-0803"</f>
        <v>710-0803</v>
      </c>
      <c r="D73" s="2" t="s">
        <v>241</v>
      </c>
      <c r="E73" s="1">
        <v>46387</v>
      </c>
    </row>
    <row r="74" spans="1:5" ht="30" customHeight="1" x14ac:dyDescent="0.4">
      <c r="A74" s="3">
        <v>71</v>
      </c>
      <c r="B74" s="2" t="s">
        <v>256</v>
      </c>
      <c r="C74" s="2" t="str">
        <f>"710-0016"</f>
        <v>710-0016</v>
      </c>
      <c r="D74" s="2" t="s">
        <v>257</v>
      </c>
      <c r="E74" s="1">
        <v>46387</v>
      </c>
    </row>
    <row r="75" spans="1:5" ht="30" customHeight="1" x14ac:dyDescent="0.4">
      <c r="A75" s="3">
        <v>72</v>
      </c>
      <c r="B75" s="2" t="s">
        <v>231</v>
      </c>
      <c r="C75" s="2" t="str">
        <f>"710-0824"</f>
        <v>710-0824</v>
      </c>
      <c r="D75" s="2" t="s">
        <v>232</v>
      </c>
      <c r="E75" s="1">
        <v>46387</v>
      </c>
    </row>
    <row r="76" spans="1:5" ht="30" customHeight="1" x14ac:dyDescent="0.4">
      <c r="A76" s="3">
        <v>73</v>
      </c>
      <c r="B76" s="2" t="s">
        <v>917</v>
      </c>
      <c r="C76" s="2" t="str">
        <f>"710-0824"</f>
        <v>710-0824</v>
      </c>
      <c r="D76" s="2" t="s">
        <v>918</v>
      </c>
      <c r="E76" s="1">
        <v>46387</v>
      </c>
    </row>
    <row r="77" spans="1:5" ht="30" customHeight="1" x14ac:dyDescent="0.4">
      <c r="A77" s="3">
        <v>74</v>
      </c>
      <c r="B77" s="2" t="s">
        <v>102</v>
      </c>
      <c r="C77" s="2" t="str">
        <f>"710-8522"</f>
        <v>710-8522</v>
      </c>
      <c r="D77" s="2" t="s">
        <v>103</v>
      </c>
      <c r="E77" s="1">
        <v>46387</v>
      </c>
    </row>
    <row r="78" spans="1:5" ht="30" customHeight="1" x14ac:dyDescent="0.4">
      <c r="A78" s="3">
        <v>75</v>
      </c>
      <c r="B78" s="2" t="s">
        <v>289</v>
      </c>
      <c r="C78" s="2" t="str">
        <f>"710-0826"</f>
        <v>710-0826</v>
      </c>
      <c r="D78" s="2" t="s">
        <v>290</v>
      </c>
      <c r="E78" s="1">
        <v>47118</v>
      </c>
    </row>
    <row r="79" spans="1:5" ht="30" customHeight="1" x14ac:dyDescent="0.4">
      <c r="A79" s="3">
        <v>76</v>
      </c>
      <c r="B79" s="2" t="s">
        <v>88</v>
      </c>
      <c r="C79" s="2" t="str">
        <f>"710-8602"</f>
        <v>710-8602</v>
      </c>
      <c r="D79" s="2" t="s">
        <v>89</v>
      </c>
      <c r="E79" s="1">
        <v>46387</v>
      </c>
    </row>
    <row r="80" spans="1:5" ht="30" customHeight="1" x14ac:dyDescent="0.4">
      <c r="A80" s="3">
        <v>77</v>
      </c>
      <c r="B80" s="2" t="s">
        <v>219</v>
      </c>
      <c r="C80" s="2" t="str">
        <f>"712-8007"</f>
        <v>712-8007</v>
      </c>
      <c r="D80" s="2" t="str">
        <f>"倉敷市鶴の浦２丁目６－１１"</f>
        <v>倉敷市鶴の浦２丁目６－１１</v>
      </c>
      <c r="E80" s="1">
        <v>46387</v>
      </c>
    </row>
    <row r="81" spans="1:5" ht="30" customHeight="1" x14ac:dyDescent="0.4">
      <c r="A81" s="3">
        <v>78</v>
      </c>
      <c r="B81" s="2" t="s">
        <v>312</v>
      </c>
      <c r="C81" s="2" t="str">
        <f>"710-0003"</f>
        <v>710-0003</v>
      </c>
      <c r="D81" s="2" t="str">
        <f>"倉敷市平田947-7"</f>
        <v>倉敷市平田947-7</v>
      </c>
      <c r="E81" s="1">
        <v>47118</v>
      </c>
    </row>
    <row r="82" spans="1:5" ht="30" customHeight="1" x14ac:dyDescent="0.4">
      <c r="A82" s="3">
        <v>79</v>
      </c>
      <c r="B82" s="2" t="s">
        <v>73</v>
      </c>
      <c r="C82" s="2" t="str">
        <f>"710-0803"</f>
        <v>710-0803</v>
      </c>
      <c r="D82" s="2" t="str">
        <f>"倉敷市中島997-3"</f>
        <v>倉敷市中島997-3</v>
      </c>
      <c r="E82" s="1">
        <v>47118</v>
      </c>
    </row>
    <row r="83" spans="1:5" ht="30" customHeight="1" x14ac:dyDescent="0.4">
      <c r="A83" s="3">
        <v>80</v>
      </c>
      <c r="B83" s="2" t="s">
        <v>79</v>
      </c>
      <c r="C83" s="2" t="str">
        <f>"710-0814"</f>
        <v>710-0814</v>
      </c>
      <c r="D83" s="2" t="s">
        <v>80</v>
      </c>
      <c r="E83" s="1">
        <v>47483</v>
      </c>
    </row>
    <row r="84" spans="1:5" ht="30" customHeight="1" x14ac:dyDescent="0.4">
      <c r="A84" s="3">
        <v>81</v>
      </c>
      <c r="B84" s="2" t="s">
        <v>115</v>
      </c>
      <c r="C84" s="2" t="str">
        <f>"710-0826"</f>
        <v>710-0826</v>
      </c>
      <c r="D84" s="2" t="s">
        <v>116</v>
      </c>
      <c r="E84" s="1">
        <v>46387</v>
      </c>
    </row>
    <row r="85" spans="1:5" ht="30" customHeight="1" x14ac:dyDescent="0.4">
      <c r="A85" s="3">
        <v>82</v>
      </c>
      <c r="B85" s="2" t="s">
        <v>203</v>
      </c>
      <c r="C85" s="2" t="str">
        <f>"710-0834"</f>
        <v>710-0834</v>
      </c>
      <c r="D85" s="2" t="s">
        <v>204</v>
      </c>
      <c r="E85" s="1">
        <v>46387</v>
      </c>
    </row>
    <row r="86" spans="1:5" ht="30" customHeight="1" x14ac:dyDescent="0.4">
      <c r="A86" s="3">
        <v>83</v>
      </c>
      <c r="B86" s="2" t="s">
        <v>321</v>
      </c>
      <c r="C86" s="2" t="str">
        <f>"710-0826"</f>
        <v>710-0826</v>
      </c>
      <c r="D86" s="2" t="str">
        <f>"倉敷市老松町４丁目９－２２"</f>
        <v>倉敷市老松町４丁目９－２２</v>
      </c>
      <c r="E86" s="1">
        <v>48213</v>
      </c>
    </row>
    <row r="87" spans="1:5" ht="30" customHeight="1" x14ac:dyDescent="0.4">
      <c r="A87" s="3">
        <v>84</v>
      </c>
      <c r="B87" s="2" t="s">
        <v>247</v>
      </c>
      <c r="C87" s="2" t="str">
        <f>"710-0057"</f>
        <v>710-0057</v>
      </c>
      <c r="D87" s="2" t="str">
        <f>"倉敷市昭和２－２－４４"</f>
        <v>倉敷市昭和２－２－４４</v>
      </c>
      <c r="E87" s="1">
        <v>46387</v>
      </c>
    </row>
    <row r="88" spans="1:5" ht="30" customHeight="1" x14ac:dyDescent="0.4">
      <c r="A88" s="3">
        <v>85</v>
      </c>
      <c r="B88" s="2" t="s">
        <v>910</v>
      </c>
      <c r="C88" s="2" t="str">
        <f>"710-0065"</f>
        <v>710-0065</v>
      </c>
      <c r="D88" s="2" t="str">
        <f>"倉敷市宮前３８４－１"</f>
        <v>倉敷市宮前３８４－１</v>
      </c>
      <c r="E88" s="1">
        <v>46387</v>
      </c>
    </row>
    <row r="89" spans="1:5" ht="30" customHeight="1" x14ac:dyDescent="0.4">
      <c r="A89" s="3">
        <v>86</v>
      </c>
      <c r="B89" s="2" t="s">
        <v>207</v>
      </c>
      <c r="C89" s="2" t="str">
        <f>"710-0065"</f>
        <v>710-0065</v>
      </c>
      <c r="D89" s="2" t="str">
        <f>"倉敷市宮前３８４－１"</f>
        <v>倉敷市宮前３８４－１</v>
      </c>
      <c r="E89" s="1">
        <v>46387</v>
      </c>
    </row>
    <row r="90" spans="1:5" ht="30" customHeight="1" x14ac:dyDescent="0.4">
      <c r="A90" s="3">
        <v>87</v>
      </c>
      <c r="B90" s="2" t="s">
        <v>286</v>
      </c>
      <c r="C90" s="2" t="str">
        <f>"712-8057"</f>
        <v>712-8057</v>
      </c>
      <c r="D90" s="2" t="s">
        <v>287</v>
      </c>
      <c r="E90" s="1">
        <v>46387</v>
      </c>
    </row>
    <row r="91" spans="1:5" ht="30" customHeight="1" x14ac:dyDescent="0.4">
      <c r="A91" s="3">
        <v>88</v>
      </c>
      <c r="B91" s="2" t="s">
        <v>912</v>
      </c>
      <c r="C91" s="2" t="str">
        <f>"711-0912"</f>
        <v>711-0912</v>
      </c>
      <c r="D91" s="2" t="str">
        <f>"倉敷市児島小川町３６８２－７"</f>
        <v>倉敷市児島小川町３６８２－７</v>
      </c>
      <c r="E91" s="1">
        <v>46387</v>
      </c>
    </row>
    <row r="92" spans="1:5" ht="30" customHeight="1" x14ac:dyDescent="0.4">
      <c r="A92" s="3">
        <v>89</v>
      </c>
      <c r="B92" s="2" t="s">
        <v>309</v>
      </c>
      <c r="C92" s="2" t="str">
        <f>"711-0906"</f>
        <v>711-0906</v>
      </c>
      <c r="D92" s="2" t="str">
        <f>"倉敷市児島下の町1-1-16"</f>
        <v>倉敷市児島下の町1-1-16</v>
      </c>
      <c r="E92" s="1">
        <v>47118</v>
      </c>
    </row>
    <row r="93" spans="1:5" ht="30" customHeight="1" x14ac:dyDescent="0.4">
      <c r="A93" s="3">
        <v>90</v>
      </c>
      <c r="B93" s="2" t="s">
        <v>163</v>
      </c>
      <c r="C93" s="2" t="str">
        <f>"711-0913"</f>
        <v>711-0913</v>
      </c>
      <c r="D93" s="2" t="str">
        <f>"倉敷市児島味野１丁目１４－２０"</f>
        <v>倉敷市児島味野１丁目１４－２０</v>
      </c>
      <c r="E93" s="1">
        <v>46387</v>
      </c>
    </row>
    <row r="94" spans="1:5" ht="30" customHeight="1" x14ac:dyDescent="0.4">
      <c r="A94" s="3">
        <v>91</v>
      </c>
      <c r="B94" s="2" t="s">
        <v>282</v>
      </c>
      <c r="C94" s="2" t="str">
        <f>"711-0912"</f>
        <v>711-0912</v>
      </c>
      <c r="D94" s="2" t="s">
        <v>283</v>
      </c>
      <c r="E94" s="1">
        <v>46752</v>
      </c>
    </row>
    <row r="95" spans="1:5" ht="30" customHeight="1" x14ac:dyDescent="0.4">
      <c r="A95" s="3">
        <v>92</v>
      </c>
      <c r="B95" s="2" t="s">
        <v>86</v>
      </c>
      <c r="C95" s="2" t="str">
        <f>"711-0921"</f>
        <v>711-0921</v>
      </c>
      <c r="D95" s="2" t="s">
        <v>87</v>
      </c>
      <c r="E95" s="1">
        <v>47848</v>
      </c>
    </row>
    <row r="96" spans="1:5" ht="30" customHeight="1" x14ac:dyDescent="0.4">
      <c r="A96" s="3">
        <v>93</v>
      </c>
      <c r="B96" s="2" t="s">
        <v>39</v>
      </c>
      <c r="C96" s="2" t="str">
        <f>"711-0923"</f>
        <v>711-0923</v>
      </c>
      <c r="D96" s="2" t="str">
        <f>"倉敷市児島阿津1-7-27"</f>
        <v>倉敷市児島阿津1-7-27</v>
      </c>
      <c r="E96" s="1">
        <v>46752</v>
      </c>
    </row>
    <row r="97" spans="1:5" ht="30" customHeight="1" x14ac:dyDescent="0.4">
      <c r="A97" s="3">
        <v>94</v>
      </c>
      <c r="B97" s="2" t="s">
        <v>167</v>
      </c>
      <c r="C97" s="2" t="str">
        <f>"713-8113"</f>
        <v>713-8113</v>
      </c>
      <c r="D97" s="2" t="s">
        <v>168</v>
      </c>
      <c r="E97" s="1">
        <v>48213</v>
      </c>
    </row>
    <row r="98" spans="1:5" ht="30" customHeight="1" x14ac:dyDescent="0.4">
      <c r="A98" s="3">
        <v>95</v>
      </c>
      <c r="B98" s="2" t="s">
        <v>83</v>
      </c>
      <c r="C98" s="2" t="str">
        <f>"710-0835"</f>
        <v>710-0835</v>
      </c>
      <c r="D98" s="2" t="str">
        <f>"倉敷市四十瀬２３１－８"</f>
        <v>倉敷市四十瀬２３１－８</v>
      </c>
      <c r="E98" s="1">
        <v>47848</v>
      </c>
    </row>
    <row r="99" spans="1:5" ht="30" customHeight="1" x14ac:dyDescent="0.4">
      <c r="A99" s="3">
        <v>96</v>
      </c>
      <c r="B99" s="2" t="s">
        <v>261</v>
      </c>
      <c r="C99" s="2" t="str">
        <f>"711-0926"</f>
        <v>711-0926</v>
      </c>
      <c r="D99" s="2" t="str">
        <f>"倉敷市下津井吹上２丁目１－１４"</f>
        <v>倉敷市下津井吹上２丁目１－１４</v>
      </c>
      <c r="E99" s="1">
        <v>46387</v>
      </c>
    </row>
    <row r="100" spans="1:5" ht="30" customHeight="1" x14ac:dyDescent="0.4">
      <c r="A100" s="3">
        <v>97</v>
      </c>
      <c r="B100" s="2" t="s">
        <v>909</v>
      </c>
      <c r="C100" s="2" t="str">
        <f>"710-0038"</f>
        <v>710-0038</v>
      </c>
      <c r="D100" s="2" t="str">
        <f>"倉敷市新田２７８０－１"</f>
        <v>倉敷市新田２７８０－１</v>
      </c>
      <c r="E100" s="1">
        <v>48213</v>
      </c>
    </row>
    <row r="101" spans="1:5" ht="30" customHeight="1" x14ac:dyDescent="0.4">
      <c r="A101" s="3">
        <v>98</v>
      </c>
      <c r="B101" s="2" t="s">
        <v>68</v>
      </c>
      <c r="C101" s="2" t="str">
        <f>"710-0804"</f>
        <v>710-0804</v>
      </c>
      <c r="D101" s="2" t="str">
        <f>"倉敷市西阿知町新田５５２－１"</f>
        <v>倉敷市西阿知町新田５５２－１</v>
      </c>
      <c r="E101" s="1">
        <v>47848</v>
      </c>
    </row>
    <row r="102" spans="1:5" ht="30" customHeight="1" x14ac:dyDescent="0.4">
      <c r="A102" s="3">
        <v>99</v>
      </c>
      <c r="B102" s="2" t="s">
        <v>54</v>
      </c>
      <c r="C102" s="2" t="str">
        <f>"710-0824"</f>
        <v>710-0824</v>
      </c>
      <c r="D102" s="2" t="str">
        <f>"倉敷市白楽町１７４－１"</f>
        <v>倉敷市白楽町１７４－１</v>
      </c>
      <c r="E102" s="1">
        <v>46387</v>
      </c>
    </row>
    <row r="103" spans="1:5" ht="30" customHeight="1" x14ac:dyDescent="0.4">
      <c r="A103" s="3">
        <v>100</v>
      </c>
      <c r="B103" s="2" t="s">
        <v>161</v>
      </c>
      <c r="C103" s="2" t="str">
        <f>"710-0803"</f>
        <v>710-0803</v>
      </c>
      <c r="D103" s="2" t="s">
        <v>162</v>
      </c>
      <c r="E103" s="1">
        <v>46387</v>
      </c>
    </row>
    <row r="104" spans="1:5" ht="30" customHeight="1" x14ac:dyDescent="0.4">
      <c r="A104" s="3">
        <v>101</v>
      </c>
      <c r="B104" s="2" t="s">
        <v>7</v>
      </c>
      <c r="C104" s="2" t="str">
        <f>"712-8059"</f>
        <v>712-8059</v>
      </c>
      <c r="D104" s="2" t="str">
        <f>"倉敷市水島西常盤町１０－２４"</f>
        <v>倉敷市水島西常盤町１０－２４</v>
      </c>
      <c r="E104" s="1">
        <v>46387</v>
      </c>
    </row>
    <row r="105" spans="1:5" ht="30" customHeight="1" x14ac:dyDescent="0.4">
      <c r="A105" s="3">
        <v>102</v>
      </c>
      <c r="B105" s="2" t="s">
        <v>72</v>
      </c>
      <c r="C105" s="2" t="str">
        <f>"710-0055"</f>
        <v>710-0055</v>
      </c>
      <c r="D105" s="2" t="str">
        <f>"倉敷市阿知３丁目13-1　オールファーマシータウン３F"</f>
        <v>倉敷市阿知３丁目13-1　オールファーマシータウン３F</v>
      </c>
      <c r="E105" s="1">
        <v>46387</v>
      </c>
    </row>
    <row r="106" spans="1:5" ht="30" customHeight="1" x14ac:dyDescent="0.4">
      <c r="A106" s="3">
        <v>103</v>
      </c>
      <c r="B106" s="2" t="s">
        <v>43</v>
      </c>
      <c r="C106" s="2" t="str">
        <f>"710-0023"</f>
        <v>710-0023</v>
      </c>
      <c r="D106" s="2" t="str">
        <f>"倉敷市帯高５４０－７"</f>
        <v>倉敷市帯高５４０－７</v>
      </c>
      <c r="E106" s="1">
        <v>46387</v>
      </c>
    </row>
    <row r="107" spans="1:5" ht="30" customHeight="1" x14ac:dyDescent="0.4">
      <c r="A107" s="3">
        <v>104</v>
      </c>
      <c r="B107" s="2" t="s">
        <v>117</v>
      </c>
      <c r="C107" s="2" t="str">
        <f>"711-0921"</f>
        <v>711-0921</v>
      </c>
      <c r="D107" s="2" t="s">
        <v>118</v>
      </c>
      <c r="E107" s="1">
        <v>46387</v>
      </c>
    </row>
    <row r="108" spans="1:5" ht="30" customHeight="1" x14ac:dyDescent="0.4">
      <c r="A108" s="3">
        <v>105</v>
      </c>
      <c r="B108" s="2" t="s">
        <v>227</v>
      </c>
      <c r="C108" s="2" t="str">
        <f>"710-1101"</f>
        <v>710-1101</v>
      </c>
      <c r="D108" s="2" t="str">
        <f>"倉敷市茶屋町１５９７－５"</f>
        <v>倉敷市茶屋町１５９７－５</v>
      </c>
      <c r="E108" s="1">
        <v>46387</v>
      </c>
    </row>
    <row r="109" spans="1:5" ht="30" customHeight="1" x14ac:dyDescent="0.4">
      <c r="A109" s="3">
        <v>106</v>
      </c>
      <c r="B109" s="2" t="s">
        <v>42</v>
      </c>
      <c r="C109" s="2" t="str">
        <f>"710-0023"</f>
        <v>710-0023</v>
      </c>
      <c r="D109" s="2" t="str">
        <f>"倉敷市帯高５４０－７"</f>
        <v>倉敷市帯高５４０－７</v>
      </c>
      <c r="E109" s="1">
        <v>46387</v>
      </c>
    </row>
    <row r="110" spans="1:5" ht="30" customHeight="1" x14ac:dyDescent="0.4">
      <c r="A110" s="3">
        <v>107</v>
      </c>
      <c r="B110" s="2" t="s">
        <v>23</v>
      </c>
      <c r="C110" s="2" t="str">
        <f>"710-0802"</f>
        <v>710-0802</v>
      </c>
      <c r="D110" s="2" t="str">
        <f>"倉敷市水江１４１４－１"</f>
        <v>倉敷市水江１４１４－１</v>
      </c>
      <c r="E110" s="1">
        <v>46387</v>
      </c>
    </row>
    <row r="111" spans="1:5" ht="30" customHeight="1" x14ac:dyDescent="0.4">
      <c r="A111" s="3">
        <v>108</v>
      </c>
      <c r="B111" s="2" t="s">
        <v>90</v>
      </c>
      <c r="C111" s="2" t="str">
        <f>"710-0051"</f>
        <v>710-0051</v>
      </c>
      <c r="D111" s="2" t="s">
        <v>91</v>
      </c>
      <c r="E111" s="1">
        <v>46387</v>
      </c>
    </row>
    <row r="112" spans="1:5" ht="30" customHeight="1" x14ac:dyDescent="0.4">
      <c r="A112" s="3">
        <v>109</v>
      </c>
      <c r="B112" s="2" t="s">
        <v>213</v>
      </c>
      <c r="C112" s="2" t="str">
        <f>"713-8103"</f>
        <v>713-8103</v>
      </c>
      <c r="D112" s="2" t="str">
        <f>"倉敷市玉島乙島６１０８－１"</f>
        <v>倉敷市玉島乙島６１０８－１</v>
      </c>
      <c r="E112" s="1">
        <v>46387</v>
      </c>
    </row>
    <row r="113" spans="1:5" ht="30" customHeight="1" x14ac:dyDescent="0.4">
      <c r="A113" s="3">
        <v>110</v>
      </c>
      <c r="B113" s="2" t="s">
        <v>228</v>
      </c>
      <c r="C113" s="2" t="str">
        <f>"710-1101"</f>
        <v>710-1101</v>
      </c>
      <c r="D113" s="2" t="str">
        <f>"倉敷市茶屋町１６０８－７"</f>
        <v>倉敷市茶屋町１６０８－７</v>
      </c>
      <c r="E113" s="1">
        <v>46387</v>
      </c>
    </row>
    <row r="114" spans="1:5" ht="30" customHeight="1" x14ac:dyDescent="0.4">
      <c r="A114" s="3">
        <v>111</v>
      </c>
      <c r="B114" s="2" t="s">
        <v>106</v>
      </c>
      <c r="C114" s="2" t="str">
        <f>"711-0926"</f>
        <v>711-0926</v>
      </c>
      <c r="D114" s="2" t="s">
        <v>107</v>
      </c>
      <c r="E114" s="1">
        <v>46387</v>
      </c>
    </row>
    <row r="115" spans="1:5" ht="30" customHeight="1" x14ac:dyDescent="0.4">
      <c r="A115" s="3">
        <v>112</v>
      </c>
      <c r="B115" s="2" t="s">
        <v>249</v>
      </c>
      <c r="C115" s="2" t="str">
        <f>"711-0936"</f>
        <v>711-0936</v>
      </c>
      <c r="D115" s="2" t="s">
        <v>250</v>
      </c>
      <c r="E115" s="1">
        <v>46387</v>
      </c>
    </row>
    <row r="116" spans="1:5" ht="30" customHeight="1" x14ac:dyDescent="0.4">
      <c r="A116" s="3">
        <v>113</v>
      </c>
      <c r="B116" s="2" t="s">
        <v>305</v>
      </c>
      <c r="C116" s="2" t="str">
        <f>"701-0114"</f>
        <v>701-0114</v>
      </c>
      <c r="D116" s="2" t="str">
        <f>"倉敷市松島１１５４－２マルナカマスカット店ドーム棟２Ｆ"</f>
        <v>倉敷市松島１１５４－２マルナカマスカット店ドーム棟２Ｆ</v>
      </c>
      <c r="E116" s="1">
        <v>46752</v>
      </c>
    </row>
    <row r="117" spans="1:5" ht="30" customHeight="1" x14ac:dyDescent="0.4">
      <c r="A117" s="3">
        <v>114</v>
      </c>
      <c r="B117" s="2" t="s">
        <v>275</v>
      </c>
      <c r="C117" s="2" t="str">
        <f>"713-8113"</f>
        <v>713-8113</v>
      </c>
      <c r="D117" s="2" t="s">
        <v>276</v>
      </c>
      <c r="E117" s="1">
        <v>46387</v>
      </c>
    </row>
    <row r="118" spans="1:5" ht="30" customHeight="1" x14ac:dyDescent="0.4">
      <c r="A118" s="3">
        <v>115</v>
      </c>
      <c r="B118" s="2" t="s">
        <v>123</v>
      </c>
      <c r="C118" s="2" t="str">
        <f>"713-8102"</f>
        <v>713-8102</v>
      </c>
      <c r="D118" s="2" t="s">
        <v>124</v>
      </c>
      <c r="E118" s="1">
        <v>46387</v>
      </c>
    </row>
    <row r="119" spans="1:5" ht="30" customHeight="1" x14ac:dyDescent="0.4">
      <c r="A119" s="3">
        <v>116</v>
      </c>
      <c r="B119" s="2" t="s">
        <v>41</v>
      </c>
      <c r="C119" s="2" t="str">
        <f>"710-0842"</f>
        <v>710-0842</v>
      </c>
      <c r="D119" s="2" t="str">
        <f>"倉敷市吉岡１１５－１"</f>
        <v>倉敷市吉岡１１５－１</v>
      </c>
      <c r="E119" s="1">
        <v>46387</v>
      </c>
    </row>
    <row r="120" spans="1:5" ht="30" customHeight="1" x14ac:dyDescent="0.4">
      <c r="A120" s="3">
        <v>117</v>
      </c>
      <c r="B120" s="2" t="s">
        <v>264</v>
      </c>
      <c r="C120" s="2" t="str">
        <f>"710-1101"</f>
        <v>710-1101</v>
      </c>
      <c r="D120" s="2" t="str">
        <f>"倉敷市茶屋町７５１－１"</f>
        <v>倉敷市茶屋町７５１－１</v>
      </c>
      <c r="E120" s="1">
        <v>46387</v>
      </c>
    </row>
    <row r="121" spans="1:5" ht="30" customHeight="1" x14ac:dyDescent="0.4">
      <c r="A121" s="3">
        <v>118</v>
      </c>
      <c r="B121" s="2" t="s">
        <v>904</v>
      </c>
      <c r="C121" s="2" t="str">
        <f>"711-0904"</f>
        <v>711-0904</v>
      </c>
      <c r="D121" s="2" t="s">
        <v>905</v>
      </c>
      <c r="E121" s="1">
        <v>46387</v>
      </c>
    </row>
    <row r="122" spans="1:5" ht="30" customHeight="1" x14ac:dyDescent="0.4">
      <c r="A122" s="3">
        <v>119</v>
      </c>
      <c r="B122" s="2" t="s">
        <v>38</v>
      </c>
      <c r="C122" s="2" t="str">
        <f>"710-0253"</f>
        <v>710-0253</v>
      </c>
      <c r="D122" s="2" t="str">
        <f>"倉敷市新倉敷駅前２－２９"</f>
        <v>倉敷市新倉敷駅前２－２９</v>
      </c>
      <c r="E122" s="1">
        <v>46387</v>
      </c>
    </row>
    <row r="123" spans="1:5" ht="30" customHeight="1" x14ac:dyDescent="0.4">
      <c r="A123" s="3">
        <v>120</v>
      </c>
      <c r="B123" s="2" t="s">
        <v>145</v>
      </c>
      <c r="C123" s="2" t="str">
        <f>"710-0816"</f>
        <v>710-0816</v>
      </c>
      <c r="D123" s="2" t="s">
        <v>146</v>
      </c>
      <c r="E123" s="1">
        <v>47483</v>
      </c>
    </row>
    <row r="124" spans="1:5" ht="30" customHeight="1" x14ac:dyDescent="0.4">
      <c r="A124" s="3">
        <v>121</v>
      </c>
      <c r="B124" s="2" t="s">
        <v>17</v>
      </c>
      <c r="C124" s="2" t="str">
        <f>"713-8122"</f>
        <v>713-8122</v>
      </c>
      <c r="D124" s="2" t="str">
        <f>"倉敷市玉島中央町２丁目６－１２"</f>
        <v>倉敷市玉島中央町２丁目６－１２</v>
      </c>
      <c r="E124" s="1">
        <v>46387</v>
      </c>
    </row>
    <row r="125" spans="1:5" ht="30" customHeight="1" x14ac:dyDescent="0.4">
      <c r="A125" s="3">
        <v>122</v>
      </c>
      <c r="B125" s="2" t="s">
        <v>33</v>
      </c>
      <c r="C125" s="2" t="str">
        <f>"710-1101"</f>
        <v>710-1101</v>
      </c>
      <c r="D125" s="2" t="str">
        <f>"倉敷市茶屋町４９７－３０"</f>
        <v>倉敷市茶屋町４９７－３０</v>
      </c>
      <c r="E125" s="1">
        <v>46387</v>
      </c>
    </row>
    <row r="126" spans="1:5" ht="30" customHeight="1" x14ac:dyDescent="0.4">
      <c r="A126" s="3">
        <v>123</v>
      </c>
      <c r="B126" s="2" t="s">
        <v>187</v>
      </c>
      <c r="C126" s="2" t="str">
        <f>"710-0048"</f>
        <v>710-0048</v>
      </c>
      <c r="D126" s="2" t="s">
        <v>188</v>
      </c>
      <c r="E126" s="1">
        <v>46387</v>
      </c>
    </row>
    <row r="127" spans="1:5" ht="30" customHeight="1" x14ac:dyDescent="0.4">
      <c r="A127" s="3">
        <v>124</v>
      </c>
      <c r="B127" s="2" t="s">
        <v>169</v>
      </c>
      <c r="C127" s="2" t="str">
        <f>"712-8043"</f>
        <v>712-8043</v>
      </c>
      <c r="D127" s="2" t="s">
        <v>170</v>
      </c>
      <c r="E127" s="1">
        <v>46387</v>
      </c>
    </row>
    <row r="128" spans="1:5" ht="30" customHeight="1" x14ac:dyDescent="0.4">
      <c r="A128" s="3">
        <v>125</v>
      </c>
      <c r="B128" s="2" t="s">
        <v>151</v>
      </c>
      <c r="C128" s="2" t="str">
        <f>"710-0803"</f>
        <v>710-0803</v>
      </c>
      <c r="D128" s="2" t="str">
        <f>"倉敷市中島２７６９－１"</f>
        <v>倉敷市中島２７６９－１</v>
      </c>
      <c r="E128" s="1">
        <v>46387</v>
      </c>
    </row>
    <row r="129" spans="1:5" ht="30" customHeight="1" x14ac:dyDescent="0.4">
      <c r="A129" s="3">
        <v>126</v>
      </c>
      <c r="B129" s="2" t="s">
        <v>186</v>
      </c>
      <c r="C129" s="2" t="str">
        <f>"712-8051"</f>
        <v>712-8051</v>
      </c>
      <c r="D129" s="2" t="str">
        <f>"倉敷市中畝８丁目６－１５"</f>
        <v>倉敷市中畝８丁目６－１５</v>
      </c>
      <c r="E129" s="1">
        <v>46387</v>
      </c>
    </row>
    <row r="130" spans="1:5" ht="30" customHeight="1" x14ac:dyDescent="0.4">
      <c r="A130" s="3">
        <v>127</v>
      </c>
      <c r="B130" s="2" t="s">
        <v>310</v>
      </c>
      <c r="C130" s="2" t="str">
        <f>"712-8006"</f>
        <v>712-8006</v>
      </c>
      <c r="D130" s="2" t="s">
        <v>311</v>
      </c>
      <c r="E130" s="1">
        <v>47118</v>
      </c>
    </row>
    <row r="131" spans="1:5" ht="30" customHeight="1" x14ac:dyDescent="0.4">
      <c r="A131" s="3">
        <v>128</v>
      </c>
      <c r="B131" s="2" t="s">
        <v>37</v>
      </c>
      <c r="C131" s="2" t="str">
        <f>"710-0047"</f>
        <v>710-0047</v>
      </c>
      <c r="D131" s="2" t="str">
        <f>"倉敷市大島３６４－１　オアシス六番館"</f>
        <v>倉敷市大島３６４－１　オアシス六番館</v>
      </c>
      <c r="E131" s="1">
        <v>46387</v>
      </c>
    </row>
    <row r="132" spans="1:5" ht="30" customHeight="1" x14ac:dyDescent="0.4">
      <c r="A132" s="3">
        <v>129</v>
      </c>
      <c r="B132" s="2" t="s">
        <v>180</v>
      </c>
      <c r="C132" s="2" t="str">
        <f>"712-8001"</f>
        <v>712-8001</v>
      </c>
      <c r="D132" s="2" t="str">
        <f>"倉敷市連島町西之浦３５２－１"</f>
        <v>倉敷市連島町西之浦３５２－１</v>
      </c>
      <c r="E132" s="1">
        <v>46387</v>
      </c>
    </row>
    <row r="133" spans="1:5" ht="30" customHeight="1" x14ac:dyDescent="0.4">
      <c r="A133" s="3">
        <v>130</v>
      </c>
      <c r="B133" s="2" t="s">
        <v>119</v>
      </c>
      <c r="C133" s="2" t="str">
        <f>"711-0936"</f>
        <v>711-0936</v>
      </c>
      <c r="D133" s="2" t="s">
        <v>120</v>
      </c>
      <c r="E133" s="1">
        <v>46387</v>
      </c>
    </row>
    <row r="134" spans="1:5" ht="30" customHeight="1" x14ac:dyDescent="0.4">
      <c r="A134" s="3">
        <v>131</v>
      </c>
      <c r="B134" s="2" t="s">
        <v>76</v>
      </c>
      <c r="C134" s="2" t="str">
        <f>"710-0023"</f>
        <v>710-0023</v>
      </c>
      <c r="D134" s="2" t="s">
        <v>77</v>
      </c>
      <c r="E134" s="1">
        <v>47118</v>
      </c>
    </row>
    <row r="135" spans="1:5" ht="30" customHeight="1" x14ac:dyDescent="0.4">
      <c r="A135" s="3">
        <v>132</v>
      </c>
      <c r="B135" s="2" t="s">
        <v>288</v>
      </c>
      <c r="C135" s="2" t="str">
        <f>"710-0038"</f>
        <v>710-0038</v>
      </c>
      <c r="D135" s="2" t="str">
        <f>"倉敷市新田２７５０－５"</f>
        <v>倉敷市新田２７５０－５</v>
      </c>
      <c r="E135" s="1">
        <v>46387</v>
      </c>
    </row>
    <row r="136" spans="1:5" ht="30" customHeight="1" x14ac:dyDescent="0.4">
      <c r="A136" s="3">
        <v>133</v>
      </c>
      <c r="B136" s="2" t="s">
        <v>61</v>
      </c>
      <c r="C136" s="2" t="str">
        <f>"710-0837"</f>
        <v>710-0837</v>
      </c>
      <c r="D136" s="2" t="s">
        <v>62</v>
      </c>
      <c r="E136" s="1">
        <v>47848</v>
      </c>
    </row>
    <row r="137" spans="1:5" ht="30" customHeight="1" x14ac:dyDescent="0.4">
      <c r="A137" s="3">
        <v>134</v>
      </c>
      <c r="B137" s="2" t="s">
        <v>200</v>
      </c>
      <c r="C137" s="2" t="str">
        <f>"710-0252"</f>
        <v>710-0252</v>
      </c>
      <c r="D137" s="2" t="str">
        <f>"倉敷市玉島爪崎２２５－２"</f>
        <v>倉敷市玉島爪崎２２５－２</v>
      </c>
      <c r="E137" s="1">
        <v>46387</v>
      </c>
    </row>
    <row r="138" spans="1:5" ht="30" customHeight="1" x14ac:dyDescent="0.4">
      <c r="A138" s="3">
        <v>135</v>
      </c>
      <c r="B138" s="2" t="s">
        <v>280</v>
      </c>
      <c r="C138" s="2" t="str">
        <f>"713-8123"</f>
        <v>713-8123</v>
      </c>
      <c r="D138" s="2" t="str">
        <f>"倉敷市玉島柏島５２０９－１"</f>
        <v>倉敷市玉島柏島５２０９－１</v>
      </c>
      <c r="E138" s="1">
        <v>46387</v>
      </c>
    </row>
    <row r="139" spans="1:5" ht="30" customHeight="1" x14ac:dyDescent="0.4">
      <c r="A139" s="3">
        <v>136</v>
      </c>
      <c r="B139" s="2" t="s">
        <v>901</v>
      </c>
      <c r="C139" s="2" t="str">
        <f>"713-8123"</f>
        <v>713-8123</v>
      </c>
      <c r="D139" s="2" t="str">
        <f>"倉敷市玉島柏島５４１８－４"</f>
        <v>倉敷市玉島柏島５４１８－４</v>
      </c>
      <c r="E139" s="1">
        <v>46387</v>
      </c>
    </row>
    <row r="140" spans="1:5" ht="30" customHeight="1" x14ac:dyDescent="0.4">
      <c r="A140" s="3">
        <v>137</v>
      </c>
      <c r="B140" s="2" t="s">
        <v>271</v>
      </c>
      <c r="C140" s="2" t="str">
        <f>"713-8121"</f>
        <v>713-8121</v>
      </c>
      <c r="D140" s="2" t="s">
        <v>272</v>
      </c>
      <c r="E140" s="1">
        <v>46387</v>
      </c>
    </row>
    <row r="141" spans="1:5" ht="30" customHeight="1" x14ac:dyDescent="0.4">
      <c r="A141" s="3">
        <v>138</v>
      </c>
      <c r="B141" s="2" t="s">
        <v>97</v>
      </c>
      <c r="C141" s="2" t="str">
        <f>"713-8103"</f>
        <v>713-8103</v>
      </c>
      <c r="D141" s="2" t="s">
        <v>98</v>
      </c>
      <c r="E141" s="1">
        <v>46387</v>
      </c>
    </row>
    <row r="142" spans="1:5" ht="30" customHeight="1" x14ac:dyDescent="0.4">
      <c r="A142" s="3">
        <v>139</v>
      </c>
      <c r="B142" s="2" t="s">
        <v>298</v>
      </c>
      <c r="C142" s="2" t="str">
        <f>"713-8103"</f>
        <v>713-8103</v>
      </c>
      <c r="D142" s="2" t="s">
        <v>299</v>
      </c>
      <c r="E142" s="1">
        <v>47848</v>
      </c>
    </row>
    <row r="143" spans="1:5" ht="30" customHeight="1" x14ac:dyDescent="0.4">
      <c r="A143" s="3">
        <v>140</v>
      </c>
      <c r="B143" s="2" t="s">
        <v>36</v>
      </c>
      <c r="C143" s="2" t="str">
        <f>"710-0048"</f>
        <v>710-0048</v>
      </c>
      <c r="D143" s="2" t="str">
        <f>"倉敷市福島６９０－８"</f>
        <v>倉敷市福島６９０－８</v>
      </c>
      <c r="E143" s="1">
        <v>46387</v>
      </c>
    </row>
    <row r="144" spans="1:5" ht="30" customHeight="1" x14ac:dyDescent="0.4">
      <c r="A144" s="3">
        <v>141</v>
      </c>
      <c r="B144" s="2" t="s">
        <v>129</v>
      </c>
      <c r="C144" s="2" t="str">
        <f>"710-0142"</f>
        <v>710-0142</v>
      </c>
      <c r="D144" s="2" t="s">
        <v>130</v>
      </c>
      <c r="E144" s="1">
        <v>46387</v>
      </c>
    </row>
    <row r="145" spans="1:5" ht="30" customHeight="1" x14ac:dyDescent="0.4">
      <c r="A145" s="3">
        <v>142</v>
      </c>
      <c r="B145" s="2" t="s">
        <v>48</v>
      </c>
      <c r="C145" s="2" t="str">
        <f>"710-1101"</f>
        <v>710-1101</v>
      </c>
      <c r="D145" s="2" t="str">
        <f>"倉敷市茶屋町233-2"</f>
        <v>倉敷市茶屋町233-2</v>
      </c>
      <c r="E145" s="1">
        <v>47118</v>
      </c>
    </row>
    <row r="146" spans="1:5" ht="30" customHeight="1" x14ac:dyDescent="0.4">
      <c r="A146" s="3">
        <v>143</v>
      </c>
      <c r="B146" s="2" t="s">
        <v>265</v>
      </c>
      <c r="C146" s="2" t="str">
        <f>"710-1101"</f>
        <v>710-1101</v>
      </c>
      <c r="D146" s="2" t="str">
        <f>"倉敷市茶屋町495-1"</f>
        <v>倉敷市茶屋町495-1</v>
      </c>
      <c r="E146" s="1">
        <v>47483</v>
      </c>
    </row>
    <row r="147" spans="1:5" ht="30" customHeight="1" x14ac:dyDescent="0.4">
      <c r="A147" s="3">
        <v>144</v>
      </c>
      <c r="B147" s="2" t="s">
        <v>59</v>
      </c>
      <c r="C147" s="2" t="str">
        <f>"710-1101"</f>
        <v>710-1101</v>
      </c>
      <c r="D147" s="2" t="str">
        <f>"倉敷市茶屋町３６０－１２"</f>
        <v>倉敷市茶屋町３６０－１２</v>
      </c>
      <c r="E147" s="1">
        <v>47118</v>
      </c>
    </row>
    <row r="148" spans="1:5" ht="30" customHeight="1" x14ac:dyDescent="0.4">
      <c r="A148" s="3">
        <v>145</v>
      </c>
      <c r="B148" s="2" t="s">
        <v>13</v>
      </c>
      <c r="C148" s="2" t="str">
        <f>"712-8025"</f>
        <v>712-8025</v>
      </c>
      <c r="D148" s="2" t="str">
        <f>"倉敷市水島南春日町３－１５"</f>
        <v>倉敷市水島南春日町３－１５</v>
      </c>
      <c r="E148" s="1">
        <v>46387</v>
      </c>
    </row>
    <row r="149" spans="1:5" ht="30" customHeight="1" x14ac:dyDescent="0.4">
      <c r="A149" s="3">
        <v>146</v>
      </c>
      <c r="B149" s="2" t="s">
        <v>12</v>
      </c>
      <c r="C149" s="2" t="str">
        <f>"710-0055"</f>
        <v>710-0055</v>
      </c>
      <c r="D149" s="2" t="str">
        <f>"倉敷市阿知３－２１－９倉敷平和ビル２Ｆ"</f>
        <v>倉敷市阿知３－２１－９倉敷平和ビル２Ｆ</v>
      </c>
      <c r="E149" s="1">
        <v>46387</v>
      </c>
    </row>
    <row r="150" spans="1:5" ht="30" customHeight="1" x14ac:dyDescent="0.4">
      <c r="A150" s="3">
        <v>147</v>
      </c>
      <c r="B150" s="2" t="s">
        <v>260</v>
      </c>
      <c r="C150" s="2" t="str">
        <f>"710-0047"</f>
        <v>710-0047</v>
      </c>
      <c r="D150" s="2" t="str">
        <f>"倉敷市大島５３４－１"</f>
        <v>倉敷市大島５３４－１</v>
      </c>
      <c r="E150" s="1">
        <v>46387</v>
      </c>
    </row>
    <row r="151" spans="1:5" ht="30" customHeight="1" x14ac:dyDescent="0.4">
      <c r="A151" s="3">
        <v>148</v>
      </c>
      <c r="B151" s="2" t="s">
        <v>320</v>
      </c>
      <c r="C151" s="2" t="str">
        <f>"710-0253"</f>
        <v>710-0253</v>
      </c>
      <c r="D151" s="2" t="str">
        <f>"倉敷市新倉敷駅前５－２４４－２"</f>
        <v>倉敷市新倉敷駅前５－２４４－２</v>
      </c>
      <c r="E151" s="1">
        <v>47848</v>
      </c>
    </row>
    <row r="152" spans="1:5" ht="30" customHeight="1" x14ac:dyDescent="0.4">
      <c r="A152" s="3">
        <v>149</v>
      </c>
      <c r="B152" s="2" t="s">
        <v>78</v>
      </c>
      <c r="C152" s="2" t="str">
        <f>"710-0004"</f>
        <v>710-0004</v>
      </c>
      <c r="D152" s="2" t="str">
        <f>"倉敷市西坂752-2"</f>
        <v>倉敷市西坂752-2</v>
      </c>
      <c r="E152" s="1">
        <v>47483</v>
      </c>
    </row>
    <row r="153" spans="1:5" ht="30" customHeight="1" x14ac:dyDescent="0.4">
      <c r="A153" s="3">
        <v>150</v>
      </c>
      <c r="B153" s="2" t="s">
        <v>251</v>
      </c>
      <c r="C153" s="2" t="str">
        <f>"710-8560"</f>
        <v>710-8560</v>
      </c>
      <c r="D153" s="2" t="s">
        <v>252</v>
      </c>
      <c r="E153" s="1">
        <v>46387</v>
      </c>
    </row>
    <row r="154" spans="1:5" ht="30" customHeight="1" x14ac:dyDescent="0.4">
      <c r="A154" s="3">
        <v>151</v>
      </c>
      <c r="B154" s="2" t="s">
        <v>152</v>
      </c>
      <c r="C154" s="2" t="str">
        <f>"711-0906"</f>
        <v>711-0906</v>
      </c>
      <c r="D154" s="2" t="str">
        <f>"倉敷市児島下の町１０丁目８－４５"</f>
        <v>倉敷市児島下の町１０丁目８－４５</v>
      </c>
      <c r="E154" s="1">
        <v>46387</v>
      </c>
    </row>
    <row r="155" spans="1:5" ht="30" customHeight="1" x14ac:dyDescent="0.4">
      <c r="A155" s="3">
        <v>152</v>
      </c>
      <c r="B155" s="2" t="s">
        <v>19</v>
      </c>
      <c r="C155" s="2" t="str">
        <f>"713-8113"</f>
        <v>713-8113</v>
      </c>
      <c r="D155" s="2" t="str">
        <f>"倉敷市玉島八島６１７－４"</f>
        <v>倉敷市玉島八島６１７－４</v>
      </c>
      <c r="E155" s="1">
        <v>46387</v>
      </c>
    </row>
    <row r="156" spans="1:5" ht="30" customHeight="1" x14ac:dyDescent="0.4">
      <c r="A156" s="3">
        <v>153</v>
      </c>
      <c r="B156" s="2" t="s">
        <v>27</v>
      </c>
      <c r="C156" s="2" t="str">
        <f>"710-0826"</f>
        <v>710-0826</v>
      </c>
      <c r="D156" s="2" t="str">
        <f>"倉敷市老松町５－５８９－１"</f>
        <v>倉敷市老松町５－５８９－１</v>
      </c>
      <c r="E156" s="1">
        <v>48213</v>
      </c>
    </row>
    <row r="157" spans="1:5" ht="30" customHeight="1" x14ac:dyDescent="0.4">
      <c r="A157" s="3">
        <v>154</v>
      </c>
      <c r="B157" s="2" t="s">
        <v>892</v>
      </c>
      <c r="C157" s="2" t="str">
        <f>"710-0027"</f>
        <v>710-0027</v>
      </c>
      <c r="D157" s="2" t="str">
        <f>"倉敷市西田２２７－６"</f>
        <v>倉敷市西田２２７－６</v>
      </c>
      <c r="E157" s="1">
        <v>47483</v>
      </c>
    </row>
    <row r="158" spans="1:5" ht="30" customHeight="1" x14ac:dyDescent="0.4">
      <c r="A158" s="3">
        <v>155</v>
      </c>
      <c r="B158" s="2" t="s">
        <v>889</v>
      </c>
      <c r="C158" s="2" t="str">
        <f>"713-8103"</f>
        <v>713-8103</v>
      </c>
      <c r="D158" s="2" t="str">
        <f>"倉敷市玉島乙島６７６３－５"</f>
        <v>倉敷市玉島乙島６７６３－５</v>
      </c>
      <c r="E158" s="1">
        <v>46752</v>
      </c>
    </row>
    <row r="159" spans="1:5" ht="30" customHeight="1" x14ac:dyDescent="0.4">
      <c r="A159" s="3">
        <v>156</v>
      </c>
      <c r="B159" s="2" t="s">
        <v>192</v>
      </c>
      <c r="C159" s="2" t="str">
        <f>"711-0911"</f>
        <v>711-0911</v>
      </c>
      <c r="D159" s="2" t="s">
        <v>193</v>
      </c>
      <c r="E159" s="1">
        <v>46387</v>
      </c>
    </row>
    <row r="160" spans="1:5" ht="30" customHeight="1" x14ac:dyDescent="0.4">
      <c r="A160" s="3">
        <v>157</v>
      </c>
      <c r="B160" s="2" t="s">
        <v>242</v>
      </c>
      <c r="C160" s="2" t="str">
        <f>"710-0038"</f>
        <v>710-0038</v>
      </c>
      <c r="D160" s="2" t="str">
        <f>"倉敷市新田２７９０－１"</f>
        <v>倉敷市新田２７９０－１</v>
      </c>
      <c r="E160" s="1">
        <v>46387</v>
      </c>
    </row>
    <row r="161" spans="1:5" ht="30" customHeight="1" x14ac:dyDescent="0.4">
      <c r="A161" s="3">
        <v>158</v>
      </c>
      <c r="B161" s="2" t="s">
        <v>225</v>
      </c>
      <c r="C161" s="2" t="str">
        <f>"710-0825"</f>
        <v>710-0825</v>
      </c>
      <c r="D161" s="2" t="str">
        <f>"倉敷市安江３９２－１"</f>
        <v>倉敷市安江３９２－１</v>
      </c>
      <c r="E161" s="1">
        <v>46387</v>
      </c>
    </row>
    <row r="162" spans="1:5" ht="30" customHeight="1" x14ac:dyDescent="0.4">
      <c r="A162" s="3">
        <v>159</v>
      </c>
      <c r="B162" s="2" t="s">
        <v>138</v>
      </c>
      <c r="C162" s="2" t="str">
        <f>"713-8126"</f>
        <v>713-8126</v>
      </c>
      <c r="D162" s="2" t="str">
        <f>"倉敷市玉島黒崎３９１１－１"</f>
        <v>倉敷市玉島黒崎３９１１－１</v>
      </c>
      <c r="E162" s="1">
        <v>46387</v>
      </c>
    </row>
    <row r="163" spans="1:5" ht="30" customHeight="1" x14ac:dyDescent="0.4">
      <c r="A163" s="3">
        <v>160</v>
      </c>
      <c r="B163" s="2" t="s">
        <v>235</v>
      </c>
      <c r="C163" s="2" t="str">
        <f>"710-0035"</f>
        <v>710-0035</v>
      </c>
      <c r="D163" s="2" t="str">
        <f>"倉敷市黒石９００－１"</f>
        <v>倉敷市黒石９００－１</v>
      </c>
      <c r="E163" s="1">
        <v>46387</v>
      </c>
    </row>
    <row r="164" spans="1:5" ht="30" customHeight="1" x14ac:dyDescent="0.4">
      <c r="A164" s="3">
        <v>161</v>
      </c>
      <c r="B164" s="2" t="s">
        <v>895</v>
      </c>
      <c r="C164" s="2" t="str">
        <f>"710-0021"</f>
        <v>710-0021</v>
      </c>
      <c r="D164" s="2" t="str">
        <f>"倉敷市高須賀１８７－１"</f>
        <v>倉敷市高須賀１８７－１</v>
      </c>
      <c r="E164" s="1">
        <v>47118</v>
      </c>
    </row>
    <row r="165" spans="1:5" ht="30" customHeight="1" x14ac:dyDescent="0.4">
      <c r="A165" s="3">
        <v>162</v>
      </c>
      <c r="B165" s="2" t="s">
        <v>182</v>
      </c>
      <c r="C165" s="2" t="str">
        <f>"712-8046"</f>
        <v>712-8046</v>
      </c>
      <c r="D165" s="2" t="s">
        <v>183</v>
      </c>
      <c r="E165" s="1">
        <v>46387</v>
      </c>
    </row>
    <row r="166" spans="1:5" ht="30" customHeight="1" x14ac:dyDescent="0.4">
      <c r="A166" s="3">
        <v>163</v>
      </c>
      <c r="B166" s="2" t="s">
        <v>238</v>
      </c>
      <c r="C166" s="2" t="str">
        <f>"711-0921"</f>
        <v>711-0921</v>
      </c>
      <c r="D166" s="2" t="str">
        <f>"倉敷市児島駅前１－８３"</f>
        <v>倉敷市児島駅前１－８３</v>
      </c>
      <c r="E166" s="1">
        <v>46387</v>
      </c>
    </row>
    <row r="167" spans="1:5" ht="30" customHeight="1" x14ac:dyDescent="0.4">
      <c r="A167" s="3">
        <v>164</v>
      </c>
      <c r="B167" s="2" t="s">
        <v>171</v>
      </c>
      <c r="C167" s="2" t="str">
        <f>"711-0937"</f>
        <v>711-0937</v>
      </c>
      <c r="D167" s="2" t="s">
        <v>172</v>
      </c>
      <c r="E167" s="1">
        <v>46387</v>
      </c>
    </row>
    <row r="168" spans="1:5" ht="30" customHeight="1" x14ac:dyDescent="0.4">
      <c r="A168" s="3">
        <v>165</v>
      </c>
      <c r="B168" s="2" t="s">
        <v>212</v>
      </c>
      <c r="C168" s="2" t="str">
        <f>"710-0253"</f>
        <v>710-0253</v>
      </c>
      <c r="D168" s="2" t="str">
        <f>"倉敷市新倉敷駅前３丁目１１９－１"</f>
        <v>倉敷市新倉敷駅前３丁目１１９－１</v>
      </c>
      <c r="E168" s="1">
        <v>46387</v>
      </c>
    </row>
    <row r="169" spans="1:5" ht="30" customHeight="1" x14ac:dyDescent="0.4">
      <c r="A169" s="3">
        <v>166</v>
      </c>
      <c r="B169" s="2" t="s">
        <v>196</v>
      </c>
      <c r="C169" s="2" t="str">
        <f>"701-0114"</f>
        <v>701-0114</v>
      </c>
      <c r="D169" s="2" t="s">
        <v>197</v>
      </c>
      <c r="E169" s="1">
        <v>46387</v>
      </c>
    </row>
    <row r="170" spans="1:5" ht="30" customHeight="1" x14ac:dyDescent="0.4">
      <c r="A170" s="3">
        <v>167</v>
      </c>
      <c r="B170" s="2" t="s">
        <v>125</v>
      </c>
      <c r="C170" s="2" t="str">
        <f>"711-0917"</f>
        <v>711-0917</v>
      </c>
      <c r="D170" s="2" t="s">
        <v>126</v>
      </c>
      <c r="E170" s="1">
        <v>46387</v>
      </c>
    </row>
    <row r="171" spans="1:5" ht="30" customHeight="1" x14ac:dyDescent="0.4">
      <c r="A171" s="3">
        <v>168</v>
      </c>
      <c r="B171" s="2" t="s">
        <v>175</v>
      </c>
      <c r="C171" s="2" t="str">
        <f>"701-0114"</f>
        <v>701-0114</v>
      </c>
      <c r="D171" s="2" t="s">
        <v>176</v>
      </c>
      <c r="E171" s="1">
        <v>46387</v>
      </c>
    </row>
    <row r="172" spans="1:5" ht="30" customHeight="1" x14ac:dyDescent="0.4">
      <c r="A172" s="3">
        <v>169</v>
      </c>
      <c r="B172" s="2" t="s">
        <v>164</v>
      </c>
      <c r="C172" s="2" t="str">
        <f>"711-0903"</f>
        <v>711-0903</v>
      </c>
      <c r="D172" s="2" t="s">
        <v>165</v>
      </c>
      <c r="E172" s="1">
        <v>46387</v>
      </c>
    </row>
    <row r="173" spans="1:5" ht="30" customHeight="1" x14ac:dyDescent="0.4">
      <c r="A173" s="3">
        <v>170</v>
      </c>
      <c r="B173" s="2" t="s">
        <v>142</v>
      </c>
      <c r="C173" s="2" t="str">
        <f>"711-0913"</f>
        <v>711-0913</v>
      </c>
      <c r="D173" s="2" t="str">
        <f>"倉敷市児島味野６丁目１－１０"</f>
        <v>倉敷市児島味野６丁目１－１０</v>
      </c>
      <c r="E173" s="1">
        <v>46387</v>
      </c>
    </row>
    <row r="174" spans="1:5" ht="30" customHeight="1" x14ac:dyDescent="0.4">
      <c r="A174" s="3">
        <v>171</v>
      </c>
      <c r="B174" s="2" t="s">
        <v>898</v>
      </c>
      <c r="C174" s="2" t="str">
        <f>"713-8102"</f>
        <v>713-8102</v>
      </c>
      <c r="D174" s="2" t="str">
        <f>"倉敷市玉島１７０１－７"</f>
        <v>倉敷市玉島１７０１－７</v>
      </c>
      <c r="E174" s="1">
        <v>48213</v>
      </c>
    </row>
    <row r="175" spans="1:5" ht="30" customHeight="1" x14ac:dyDescent="0.4">
      <c r="A175" s="3">
        <v>172</v>
      </c>
      <c r="B175" s="2" t="s">
        <v>903</v>
      </c>
      <c r="C175" s="2" t="str">
        <f>"710-0055"</f>
        <v>710-0055</v>
      </c>
      <c r="D175" s="2" t="str">
        <f>"倉敷市阿知２－１２－８"</f>
        <v>倉敷市阿知２－１２－８</v>
      </c>
      <c r="E175" s="1">
        <v>46387</v>
      </c>
    </row>
    <row r="176" spans="1:5" ht="30" customHeight="1" x14ac:dyDescent="0.4">
      <c r="A176" s="3">
        <v>173</v>
      </c>
      <c r="B176" s="2" t="s">
        <v>26</v>
      </c>
      <c r="C176" s="2" t="str">
        <f>"710-0816"</f>
        <v>710-0816</v>
      </c>
      <c r="D176" s="2" t="str">
        <f>"倉敷市八王寺町１７４－７"</f>
        <v>倉敷市八王寺町１７４－７</v>
      </c>
      <c r="E176" s="1">
        <v>46387</v>
      </c>
    </row>
    <row r="177" spans="1:5" ht="30" customHeight="1" x14ac:dyDescent="0.4">
      <c r="A177" s="3">
        <v>174</v>
      </c>
      <c r="B177" s="2" t="s">
        <v>307</v>
      </c>
      <c r="C177" s="2" t="str">
        <f>"710-0806"</f>
        <v>710-0806</v>
      </c>
      <c r="D177" s="2" t="s">
        <v>308</v>
      </c>
      <c r="E177" s="1">
        <v>47118</v>
      </c>
    </row>
    <row r="178" spans="1:5" ht="30" customHeight="1" x14ac:dyDescent="0.4">
      <c r="A178" s="3">
        <v>175</v>
      </c>
      <c r="B178" s="2" t="s">
        <v>40</v>
      </c>
      <c r="C178" s="2" t="str">
        <f>"711-0911"</f>
        <v>711-0911</v>
      </c>
      <c r="D178" s="2" t="str">
        <f>"倉敷市児島小川５－１－１７"</f>
        <v>倉敷市児島小川５－１－１７</v>
      </c>
      <c r="E178" s="1">
        <v>46387</v>
      </c>
    </row>
    <row r="179" spans="1:5" ht="30" customHeight="1" x14ac:dyDescent="0.4">
      <c r="A179" s="3">
        <v>176</v>
      </c>
      <c r="B179" s="2" t="s">
        <v>21</v>
      </c>
      <c r="C179" s="2" t="str">
        <f>"710-0816"</f>
        <v>710-0816</v>
      </c>
      <c r="D179" s="2" t="s">
        <v>22</v>
      </c>
      <c r="E179" s="1">
        <v>46387</v>
      </c>
    </row>
    <row r="180" spans="1:5" ht="30" customHeight="1" x14ac:dyDescent="0.4">
      <c r="A180" s="3">
        <v>177</v>
      </c>
      <c r="B180" s="2" t="s">
        <v>53</v>
      </c>
      <c r="C180" s="2" t="str">
        <f>"710-0056"</f>
        <v>710-0056</v>
      </c>
      <c r="D180" s="2" t="str">
        <f>"倉敷市鶴形1-1-16"</f>
        <v>倉敷市鶴形1-1-16</v>
      </c>
      <c r="E180" s="1">
        <v>47118</v>
      </c>
    </row>
    <row r="181" spans="1:5" ht="30" customHeight="1" x14ac:dyDescent="0.4">
      <c r="A181" s="3">
        <v>178</v>
      </c>
      <c r="B181" s="2" t="s">
        <v>58</v>
      </c>
      <c r="C181" s="2" t="str">
        <f>"710-0055"</f>
        <v>710-0055</v>
      </c>
      <c r="D181" s="2" t="str">
        <f>"倉敷市阿知３－１６－４"</f>
        <v>倉敷市阿知３－１６－４</v>
      </c>
      <c r="E181" s="1">
        <v>46387</v>
      </c>
    </row>
    <row r="182" spans="1:5" ht="30" customHeight="1" x14ac:dyDescent="0.4">
      <c r="A182" s="3">
        <v>179</v>
      </c>
      <c r="B182" s="2" t="s">
        <v>20</v>
      </c>
      <c r="C182" s="2" t="str">
        <f>"712-8012"</f>
        <v>712-8012</v>
      </c>
      <c r="D182" s="2" t="str">
        <f>"倉敷市連島４丁目２－２０"</f>
        <v>倉敷市連島４丁目２－２０</v>
      </c>
      <c r="E182" s="1">
        <v>46752</v>
      </c>
    </row>
    <row r="183" spans="1:5" ht="30" customHeight="1" x14ac:dyDescent="0.4">
      <c r="A183" s="3">
        <v>180</v>
      </c>
      <c r="B183" s="2" t="s">
        <v>906</v>
      </c>
      <c r="C183" s="2" t="str">
        <f>"710-0806"</f>
        <v>710-0806</v>
      </c>
      <c r="D183" s="2" t="str">
        <f>"倉敷市西阿知町西原８２７－２"</f>
        <v>倉敷市西阿知町西原８２７－２</v>
      </c>
      <c r="E183" s="1">
        <v>48213</v>
      </c>
    </row>
    <row r="184" spans="1:5" ht="30" customHeight="1" x14ac:dyDescent="0.4">
      <c r="A184" s="3">
        <v>181</v>
      </c>
      <c r="B184" s="2" t="s">
        <v>25</v>
      </c>
      <c r="C184" s="2" t="str">
        <f>"701-0111"</f>
        <v>701-0111</v>
      </c>
      <c r="D184" s="2" t="str">
        <f>"倉敷市上東６６０－１"</f>
        <v>倉敷市上東６６０－１</v>
      </c>
      <c r="E184" s="1">
        <v>46387</v>
      </c>
    </row>
    <row r="185" spans="1:5" ht="30" customHeight="1" x14ac:dyDescent="0.4">
      <c r="A185" s="3">
        <v>182</v>
      </c>
      <c r="B185" s="2" t="s">
        <v>911</v>
      </c>
      <c r="C185" s="2" t="str">
        <f>"710-0038"</f>
        <v>710-0038</v>
      </c>
      <c r="D185" s="2" t="str">
        <f>"倉敷市新田1310-10"</f>
        <v>倉敷市新田1310-10</v>
      </c>
      <c r="E185" s="1">
        <v>47118</v>
      </c>
    </row>
    <row r="186" spans="1:5" ht="30" customHeight="1" x14ac:dyDescent="0.4">
      <c r="A186" s="3">
        <v>183</v>
      </c>
      <c r="B186" s="2" t="s">
        <v>154</v>
      </c>
      <c r="C186" s="2" t="str">
        <f>"710-1101"</f>
        <v>710-1101</v>
      </c>
      <c r="D186" s="2" t="str">
        <f>"倉敷市茶屋町４２７－１"</f>
        <v>倉敷市茶屋町４２７－１</v>
      </c>
      <c r="E186" s="1">
        <v>46387</v>
      </c>
    </row>
    <row r="187" spans="1:5" ht="30" customHeight="1" x14ac:dyDescent="0.4">
      <c r="A187" s="3">
        <v>184</v>
      </c>
      <c r="B187" s="2" t="s">
        <v>18</v>
      </c>
      <c r="C187" s="2" t="str">
        <f>"710-0837"</f>
        <v>710-0837</v>
      </c>
      <c r="D187" s="2" t="str">
        <f>"倉敷市沖新町９０－１　大高ビル１Ｆ"</f>
        <v>倉敷市沖新町９０－１　大高ビル１Ｆ</v>
      </c>
      <c r="E187" s="1">
        <v>46387</v>
      </c>
    </row>
    <row r="188" spans="1:5" ht="30" customHeight="1" x14ac:dyDescent="0.4">
      <c r="A188" s="3">
        <v>185</v>
      </c>
      <c r="B188" s="2" t="s">
        <v>737</v>
      </c>
      <c r="C188" s="2" t="str">
        <f>"710-1313"</f>
        <v>710-1313</v>
      </c>
      <c r="D188" s="2" t="s">
        <v>738</v>
      </c>
      <c r="E188" s="1">
        <v>46387</v>
      </c>
    </row>
    <row r="189" spans="1:5" ht="30" customHeight="1" x14ac:dyDescent="0.4">
      <c r="A189" s="3">
        <v>186</v>
      </c>
      <c r="B189" s="2" t="s">
        <v>266</v>
      </c>
      <c r="C189" s="2" t="str">
        <f>"710-0055"</f>
        <v>710-0055</v>
      </c>
      <c r="D189" s="2" t="s">
        <v>267</v>
      </c>
      <c r="E189" s="1">
        <v>46387</v>
      </c>
    </row>
    <row r="190" spans="1:5" ht="30" customHeight="1" x14ac:dyDescent="0.4">
      <c r="A190" s="3">
        <v>187</v>
      </c>
      <c r="B190" s="2" t="s">
        <v>70</v>
      </c>
      <c r="C190" s="2" t="str">
        <f>"710-0834"</f>
        <v>710-0834</v>
      </c>
      <c r="D190" s="2" t="str">
        <f>"倉敷市笹沖１６３－１２"</f>
        <v>倉敷市笹沖１６３－１２</v>
      </c>
      <c r="E190" s="1">
        <v>48213</v>
      </c>
    </row>
    <row r="191" spans="1:5" ht="30" customHeight="1" x14ac:dyDescent="0.4">
      <c r="A191" s="3">
        <v>188</v>
      </c>
      <c r="B191" s="2" t="s">
        <v>226</v>
      </c>
      <c r="C191" s="2" t="str">
        <f>"710-0824"</f>
        <v>710-0824</v>
      </c>
      <c r="D191" s="2" t="str">
        <f>"倉敷市白楽町１２５－１３"</f>
        <v>倉敷市白楽町１２５－１３</v>
      </c>
      <c r="E191" s="1">
        <v>46387</v>
      </c>
    </row>
    <row r="192" spans="1:5" ht="30" customHeight="1" x14ac:dyDescent="0.4">
      <c r="A192" s="3">
        <v>189</v>
      </c>
      <c r="B192" s="2" t="s">
        <v>81</v>
      </c>
      <c r="C192" s="2" t="str">
        <f>"713-8125"</f>
        <v>713-8125</v>
      </c>
      <c r="D192" s="2" t="s">
        <v>82</v>
      </c>
      <c r="E192" s="1">
        <v>47483</v>
      </c>
    </row>
    <row r="193" spans="1:5" ht="30" customHeight="1" x14ac:dyDescent="0.4">
      <c r="A193" s="3">
        <v>190</v>
      </c>
      <c r="B193" s="2" t="s">
        <v>230</v>
      </c>
      <c r="C193" s="2" t="str">
        <f>"710-0048"</f>
        <v>710-0048</v>
      </c>
      <c r="D193" s="2" t="str">
        <f>"倉敷市福島６７４－１"</f>
        <v>倉敷市福島６７４－１</v>
      </c>
      <c r="E193" s="1">
        <v>46387</v>
      </c>
    </row>
    <row r="194" spans="1:5" ht="30" customHeight="1" x14ac:dyDescent="0.4">
      <c r="A194" s="3">
        <v>191</v>
      </c>
      <c r="B194" s="2" t="s">
        <v>189</v>
      </c>
      <c r="C194" s="2" t="str">
        <f>"711-0921"</f>
        <v>711-0921</v>
      </c>
      <c r="D194" s="2" t="str">
        <f>"倉敷市児島駅前１－５３－２"</f>
        <v>倉敷市児島駅前１－５３－２</v>
      </c>
      <c r="E194" s="1">
        <v>46387</v>
      </c>
    </row>
    <row r="195" spans="1:5" ht="30" customHeight="1" x14ac:dyDescent="0.4">
      <c r="A195" s="3">
        <v>192</v>
      </c>
      <c r="B195" s="2" t="s">
        <v>153</v>
      </c>
      <c r="C195" s="2" t="str">
        <f>"713-8122"</f>
        <v>713-8122</v>
      </c>
      <c r="D195" s="2" t="str">
        <f>"倉敷市玉島中央町１－１８－２０"</f>
        <v>倉敷市玉島中央町１－１８－２０</v>
      </c>
      <c r="E195" s="1">
        <v>46387</v>
      </c>
    </row>
    <row r="196" spans="1:5" ht="30" customHeight="1" x14ac:dyDescent="0.4">
      <c r="A196" s="3">
        <v>193</v>
      </c>
      <c r="B196" s="2" t="s">
        <v>239</v>
      </c>
      <c r="C196" s="2" t="str">
        <f>"710-0133"</f>
        <v>710-0133</v>
      </c>
      <c r="D196" s="2" t="str">
        <f>"倉敷市藤戸町藤戸１５７３－１"</f>
        <v>倉敷市藤戸町藤戸１５７３－１</v>
      </c>
      <c r="E196" s="1">
        <v>46387</v>
      </c>
    </row>
    <row r="197" spans="1:5" ht="30" customHeight="1" x14ac:dyDescent="0.4">
      <c r="A197" s="3">
        <v>194</v>
      </c>
      <c r="B197" s="2" t="s">
        <v>15</v>
      </c>
      <c r="C197" s="2" t="str">
        <f>"710-0061"</f>
        <v>710-0061</v>
      </c>
      <c r="D197" s="2" t="str">
        <f>"倉敷市浜ノ茶屋１丁目１６２－１"</f>
        <v>倉敷市浜ノ茶屋１丁目１６２－１</v>
      </c>
      <c r="E197" s="1">
        <v>46387</v>
      </c>
    </row>
    <row r="198" spans="1:5" ht="30" customHeight="1" x14ac:dyDescent="0.4">
      <c r="A198" s="3">
        <v>195</v>
      </c>
      <c r="B198" s="2" t="s">
        <v>56</v>
      </c>
      <c r="C198" s="2" t="str">
        <f>"710-0051"</f>
        <v>710-0051</v>
      </c>
      <c r="D198" s="2" t="str">
        <f>"倉敷市幸町5-41"</f>
        <v>倉敷市幸町5-41</v>
      </c>
      <c r="E198" s="1">
        <v>46387</v>
      </c>
    </row>
    <row r="199" spans="1:5" ht="30" customHeight="1" x14ac:dyDescent="0.4">
      <c r="A199" s="3">
        <v>196</v>
      </c>
      <c r="B199" s="2" t="s">
        <v>293</v>
      </c>
      <c r="C199" s="2" t="str">
        <f>"713-8102"</f>
        <v>713-8102</v>
      </c>
      <c r="D199" s="2" t="str">
        <f>"倉敷市玉島７５０－１"</f>
        <v>倉敷市玉島７５０－１</v>
      </c>
      <c r="E199" s="1">
        <v>46387</v>
      </c>
    </row>
    <row r="200" spans="1:5" ht="30" customHeight="1" x14ac:dyDescent="0.4">
      <c r="A200" s="3">
        <v>197</v>
      </c>
      <c r="B200" s="2" t="s">
        <v>894</v>
      </c>
      <c r="C200" s="2" t="str">
        <f>"710-1101"</f>
        <v>710-1101</v>
      </c>
      <c r="D200" s="2" t="str">
        <f>"倉敷市茶屋町４７７－１４"</f>
        <v>倉敷市茶屋町４７７－１４</v>
      </c>
      <c r="E200" s="1">
        <v>46387</v>
      </c>
    </row>
    <row r="201" spans="1:5" ht="30" customHeight="1" x14ac:dyDescent="0.4">
      <c r="A201" s="3">
        <v>198</v>
      </c>
      <c r="B201" s="2" t="s">
        <v>253</v>
      </c>
      <c r="C201" s="2" t="str">
        <f>"710-0823"</f>
        <v>710-0823</v>
      </c>
      <c r="D201" s="2" t="str">
        <f>"倉敷市南町４－３８"</f>
        <v>倉敷市南町４－３８</v>
      </c>
      <c r="E201" s="1">
        <v>46387</v>
      </c>
    </row>
    <row r="202" spans="1:5" ht="30" customHeight="1" x14ac:dyDescent="0.4">
      <c r="A202" s="3">
        <v>199</v>
      </c>
      <c r="B202" s="2" t="s">
        <v>194</v>
      </c>
      <c r="C202" s="2" t="str">
        <f>"712-8014"</f>
        <v>712-8014</v>
      </c>
      <c r="D202" s="2" t="s">
        <v>195</v>
      </c>
      <c r="E202" s="1">
        <v>47483</v>
      </c>
    </row>
    <row r="203" spans="1:5" ht="30" customHeight="1" x14ac:dyDescent="0.4">
      <c r="A203" s="3">
        <v>200</v>
      </c>
      <c r="B203" s="2" t="s">
        <v>734</v>
      </c>
      <c r="C203" s="2" t="str">
        <f>"710-1301"</f>
        <v>710-1301</v>
      </c>
      <c r="D203" s="2" t="s">
        <v>735</v>
      </c>
      <c r="E203" s="1">
        <v>46387</v>
      </c>
    </row>
    <row r="204" spans="1:5" ht="30" customHeight="1" x14ac:dyDescent="0.4">
      <c r="A204" s="3">
        <v>201</v>
      </c>
      <c r="B204" s="2" t="s">
        <v>134</v>
      </c>
      <c r="C204" s="2" t="str">
        <f>"712-8031"</f>
        <v>712-8031</v>
      </c>
      <c r="D204" s="2" t="s">
        <v>135</v>
      </c>
      <c r="E204" s="1">
        <v>46387</v>
      </c>
    </row>
    <row r="205" spans="1:5" ht="30" customHeight="1" x14ac:dyDescent="0.4">
      <c r="A205" s="3">
        <v>202</v>
      </c>
      <c r="B205" s="2" t="s">
        <v>174</v>
      </c>
      <c r="C205" s="2" t="str">
        <f>"710-0004"</f>
        <v>710-0004</v>
      </c>
      <c r="D205" s="2" t="str">
        <f>"倉敷市西坂１７７７－１"</f>
        <v>倉敷市西坂１７７７－１</v>
      </c>
      <c r="E205" s="1">
        <v>46387</v>
      </c>
    </row>
    <row r="206" spans="1:5" ht="30" customHeight="1" x14ac:dyDescent="0.4">
      <c r="A206" s="3">
        <v>203</v>
      </c>
      <c r="B206" s="2" t="s">
        <v>217</v>
      </c>
      <c r="C206" s="2" t="str">
        <f>"711-0907"</f>
        <v>711-0907</v>
      </c>
      <c r="D206" s="2" t="str">
        <f>"倉敷市児島上の町３丁目１－１０"</f>
        <v>倉敷市児島上の町３丁目１－１０</v>
      </c>
      <c r="E206" s="1">
        <v>46387</v>
      </c>
    </row>
    <row r="207" spans="1:5" ht="30" customHeight="1" x14ac:dyDescent="0.4">
      <c r="A207" s="3">
        <v>204</v>
      </c>
      <c r="B207" s="2" t="s">
        <v>111</v>
      </c>
      <c r="C207" s="2" t="str">
        <f>"710-0056"</f>
        <v>710-0056</v>
      </c>
      <c r="D207" s="2" t="s">
        <v>112</v>
      </c>
      <c r="E207" s="1">
        <v>46387</v>
      </c>
    </row>
    <row r="208" spans="1:5" ht="30" customHeight="1" x14ac:dyDescent="0.4">
      <c r="A208" s="3">
        <v>205</v>
      </c>
      <c r="B208" s="2" t="s">
        <v>278</v>
      </c>
      <c r="C208" s="2" t="str">
        <f>"713-8122"</f>
        <v>713-8122</v>
      </c>
      <c r="D208" s="2" t="s">
        <v>279</v>
      </c>
      <c r="E208" s="1">
        <v>46387</v>
      </c>
    </row>
    <row r="209" spans="1:5" ht="30" customHeight="1" x14ac:dyDescent="0.4">
      <c r="A209" s="3">
        <v>206</v>
      </c>
      <c r="B209" s="2" t="s">
        <v>236</v>
      </c>
      <c r="C209" s="2" t="str">
        <f>"710-0052"</f>
        <v>710-0052</v>
      </c>
      <c r="D209" s="2" t="str">
        <f>"倉敷市美和２丁目９－１３"</f>
        <v>倉敷市美和２丁目９－１３</v>
      </c>
      <c r="E209" s="1">
        <v>46387</v>
      </c>
    </row>
    <row r="210" spans="1:5" ht="30" customHeight="1" x14ac:dyDescent="0.4">
      <c r="A210" s="3">
        <v>207</v>
      </c>
      <c r="B210" s="2" t="s">
        <v>896</v>
      </c>
      <c r="C210" s="2" t="str">
        <f>"710-0002"</f>
        <v>710-0002</v>
      </c>
      <c r="D210" s="2" t="str">
        <f>"倉敷市生坂１３４－１"</f>
        <v>倉敷市生坂１３４－１</v>
      </c>
      <c r="E210" s="1">
        <v>47483</v>
      </c>
    </row>
    <row r="211" spans="1:5" ht="30" customHeight="1" x14ac:dyDescent="0.4">
      <c r="A211" s="3">
        <v>208</v>
      </c>
      <c r="B211" s="2" t="s">
        <v>52</v>
      </c>
      <c r="C211" s="2" t="str">
        <f>"710-0003"</f>
        <v>710-0003</v>
      </c>
      <c r="D211" s="2" t="str">
        <f>"倉敷市平田４０３－１０"</f>
        <v>倉敷市平田４０３－１０</v>
      </c>
      <c r="E211" s="1">
        <v>46387</v>
      </c>
    </row>
    <row r="212" spans="1:5" ht="30" customHeight="1" x14ac:dyDescent="0.4">
      <c r="A212" s="3">
        <v>209</v>
      </c>
      <c r="B212" s="2" t="s">
        <v>269</v>
      </c>
      <c r="C212" s="2" t="str">
        <f>"710-1313"</f>
        <v>710-1313</v>
      </c>
      <c r="D212" s="2" t="s">
        <v>270</v>
      </c>
      <c r="E212" s="1">
        <v>46387</v>
      </c>
    </row>
    <row r="213" spans="1:5" ht="30" customHeight="1" x14ac:dyDescent="0.4">
      <c r="A213" s="3">
        <v>210</v>
      </c>
      <c r="B213" s="2" t="s">
        <v>908</v>
      </c>
      <c r="C213" s="2" t="str">
        <f>"710-1313"</f>
        <v>710-1313</v>
      </c>
      <c r="D213" s="2" t="str">
        <f>"倉敷市真備町川辺２０９５－１"</f>
        <v>倉敷市真備町川辺２０９５－１</v>
      </c>
      <c r="E213" s="1">
        <v>46387</v>
      </c>
    </row>
    <row r="214" spans="1:5" ht="30" customHeight="1" x14ac:dyDescent="0.4">
      <c r="A214" s="3">
        <v>211</v>
      </c>
      <c r="B214" s="2" t="s">
        <v>915</v>
      </c>
      <c r="C214" s="2" t="str">
        <f>"710-1313"</f>
        <v>710-1313</v>
      </c>
      <c r="D214" s="2" t="s">
        <v>916</v>
      </c>
      <c r="E214" s="1">
        <v>47483</v>
      </c>
    </row>
    <row r="215" spans="1:5" ht="30" customHeight="1" x14ac:dyDescent="0.4">
      <c r="A215" s="3">
        <v>212</v>
      </c>
      <c r="B215" s="2" t="s">
        <v>273</v>
      </c>
      <c r="C215" s="2" t="str">
        <f>"701-0112"</f>
        <v>701-0112</v>
      </c>
      <c r="D215" s="2" t="s">
        <v>274</v>
      </c>
      <c r="E215" s="1">
        <v>46387</v>
      </c>
    </row>
    <row r="216" spans="1:5" ht="30" customHeight="1" x14ac:dyDescent="0.4">
      <c r="A216" s="3">
        <v>213</v>
      </c>
      <c r="B216" s="2" t="s">
        <v>60</v>
      </c>
      <c r="C216" s="2" t="str">
        <f>"710-0055"</f>
        <v>710-0055</v>
      </c>
      <c r="D216" s="2" t="str">
        <f>"倉敷市阿知３－２２－１３"</f>
        <v>倉敷市阿知３－２２－１３</v>
      </c>
      <c r="E216" s="1">
        <v>46387</v>
      </c>
    </row>
    <row r="217" spans="1:5" ht="30" customHeight="1" x14ac:dyDescent="0.4">
      <c r="A217" s="3">
        <v>214</v>
      </c>
      <c r="B217" s="2" t="s">
        <v>313</v>
      </c>
      <c r="C217" s="2" t="str">
        <f>"712-8025"</f>
        <v>712-8025</v>
      </c>
      <c r="D217" s="2" t="s">
        <v>314</v>
      </c>
      <c r="E217" s="1">
        <v>47848</v>
      </c>
    </row>
    <row r="218" spans="1:5" ht="30" customHeight="1" x14ac:dyDescent="0.4">
      <c r="A218" s="3">
        <v>215</v>
      </c>
      <c r="B218" s="2" t="s">
        <v>109</v>
      </c>
      <c r="C218" s="2" t="str">
        <f>"712-8025"</f>
        <v>712-8025</v>
      </c>
      <c r="D218" s="2" t="s">
        <v>110</v>
      </c>
      <c r="E218" s="1">
        <v>46387</v>
      </c>
    </row>
    <row r="219" spans="1:5" ht="30" customHeight="1" x14ac:dyDescent="0.4">
      <c r="A219" s="3">
        <v>216</v>
      </c>
      <c r="B219" s="2" t="s">
        <v>902</v>
      </c>
      <c r="C219" s="2" t="str">
        <f>"712-8025"</f>
        <v>712-8025</v>
      </c>
      <c r="D219" s="2" t="str">
        <f>"倉敷市水島南春日町１１－２０"</f>
        <v>倉敷市水島南春日町１１－２０</v>
      </c>
      <c r="E219" s="1">
        <v>46387</v>
      </c>
    </row>
    <row r="220" spans="1:5" ht="30" customHeight="1" x14ac:dyDescent="0.4">
      <c r="A220" s="3">
        <v>217</v>
      </c>
      <c r="B220" s="2" t="s">
        <v>94</v>
      </c>
      <c r="C220" s="2" t="str">
        <f>"712-8061"</f>
        <v>712-8061</v>
      </c>
      <c r="D220" s="2" t="s">
        <v>95</v>
      </c>
      <c r="E220" s="1">
        <v>46387</v>
      </c>
    </row>
    <row r="221" spans="1:5" ht="30" customHeight="1" x14ac:dyDescent="0.4">
      <c r="A221" s="3">
        <v>218</v>
      </c>
      <c r="B221" s="2" t="s">
        <v>92</v>
      </c>
      <c r="C221" s="2" t="str">
        <f>"712-8064"</f>
        <v>712-8064</v>
      </c>
      <c r="D221" s="2" t="s">
        <v>93</v>
      </c>
      <c r="E221" s="1">
        <v>46387</v>
      </c>
    </row>
    <row r="222" spans="1:5" ht="30" customHeight="1" x14ac:dyDescent="0.4">
      <c r="A222" s="3">
        <v>219</v>
      </c>
      <c r="B222" s="2" t="s">
        <v>108</v>
      </c>
      <c r="C222" s="2" t="str">
        <f>"712-8024"</f>
        <v>712-8024</v>
      </c>
      <c r="D222" s="2" t="str">
        <f>"倉敷市水島東千鳥町２－１０－１０９"</f>
        <v>倉敷市水島東千鳥町２－１０－１０９</v>
      </c>
      <c r="E222" s="1">
        <v>46387</v>
      </c>
    </row>
    <row r="223" spans="1:5" ht="30" customHeight="1" x14ac:dyDescent="0.4">
      <c r="A223" s="3">
        <v>220</v>
      </c>
      <c r="B223" s="2" t="s">
        <v>214</v>
      </c>
      <c r="C223" s="2" t="str">
        <f>"710-0803"</f>
        <v>710-0803</v>
      </c>
      <c r="D223" s="2" t="str">
        <f>"倉敷市中島１４７３－１"</f>
        <v>倉敷市中島１４７３－１</v>
      </c>
      <c r="E223" s="1">
        <v>46387</v>
      </c>
    </row>
    <row r="224" spans="1:5" ht="30" customHeight="1" x14ac:dyDescent="0.4">
      <c r="A224" s="3">
        <v>221</v>
      </c>
      <c r="B224" s="2" t="s">
        <v>297</v>
      </c>
      <c r="C224" s="2" t="str">
        <f>"713-8122"</f>
        <v>713-8122</v>
      </c>
      <c r="D224" s="2" t="str">
        <f>"倉敷市玉島中央町２丁目５番３－１号"</f>
        <v>倉敷市玉島中央町２丁目５番３－１号</v>
      </c>
      <c r="E224" s="1">
        <v>47848</v>
      </c>
    </row>
    <row r="225" spans="1:5" ht="30" customHeight="1" x14ac:dyDescent="0.4">
      <c r="A225" s="3">
        <v>222</v>
      </c>
      <c r="B225" s="2" t="s">
        <v>736</v>
      </c>
      <c r="C225" s="2" t="str">
        <f>"710-1306"</f>
        <v>710-1306</v>
      </c>
      <c r="D225" s="2" t="str">
        <f>"倉敷市真備町有井２０５－１"</f>
        <v>倉敷市真備町有井２０５－１</v>
      </c>
      <c r="E225" s="1">
        <v>46387</v>
      </c>
    </row>
    <row r="226" spans="1:5" ht="30" customHeight="1" x14ac:dyDescent="0.4">
      <c r="A226" s="3">
        <v>223</v>
      </c>
      <c r="B226" s="2" t="s">
        <v>262</v>
      </c>
      <c r="C226" s="2" t="str">
        <f>"712-8046"</f>
        <v>712-8046</v>
      </c>
      <c r="D226" s="2" t="s">
        <v>263</v>
      </c>
      <c r="E226" s="1">
        <v>46387</v>
      </c>
    </row>
    <row r="227" spans="1:5" ht="30" customHeight="1" x14ac:dyDescent="0.4">
      <c r="A227" s="3">
        <v>224</v>
      </c>
      <c r="B227" s="2" t="s">
        <v>158</v>
      </c>
      <c r="C227" s="2" t="str">
        <f>"712-8046"</f>
        <v>712-8046</v>
      </c>
      <c r="D227" s="2" t="s">
        <v>159</v>
      </c>
      <c r="E227" s="1">
        <v>46387</v>
      </c>
    </row>
    <row r="228" spans="1:5" ht="30" customHeight="1" x14ac:dyDescent="0.4">
      <c r="A228" s="3">
        <v>225</v>
      </c>
      <c r="B228" s="2" t="s">
        <v>84</v>
      </c>
      <c r="C228" s="2" t="str">
        <f>"710-0847"</f>
        <v>710-0847</v>
      </c>
      <c r="D228" s="2" t="s">
        <v>85</v>
      </c>
      <c r="E228" s="1">
        <v>47848</v>
      </c>
    </row>
    <row r="229" spans="1:5" ht="30" customHeight="1" x14ac:dyDescent="0.4">
      <c r="A229" s="3">
        <v>226</v>
      </c>
      <c r="B229" s="2" t="s">
        <v>248</v>
      </c>
      <c r="C229" s="2" t="str">
        <f>"710-0253"</f>
        <v>710-0253</v>
      </c>
      <c r="D229" s="2" t="str">
        <f>"倉敷市新倉敷駅前３－３"</f>
        <v>倉敷市新倉敷駅前３－３</v>
      </c>
      <c r="E229" s="1">
        <v>46387</v>
      </c>
    </row>
    <row r="230" spans="1:5" ht="30" customHeight="1" x14ac:dyDescent="0.4">
      <c r="A230" s="3">
        <v>227</v>
      </c>
      <c r="B230" s="2" t="s">
        <v>224</v>
      </c>
      <c r="C230" s="2" t="str">
        <f>"711-0906"</f>
        <v>711-0906</v>
      </c>
      <c r="D230" s="2" t="str">
        <f>"倉敷市児島下の町２－１２－２"</f>
        <v>倉敷市児島下の町２－１２－２</v>
      </c>
      <c r="E230" s="1">
        <v>46387</v>
      </c>
    </row>
    <row r="231" spans="1:5" ht="30" customHeight="1" x14ac:dyDescent="0.4">
      <c r="A231" s="3">
        <v>228</v>
      </c>
      <c r="B231" s="2" t="s">
        <v>316</v>
      </c>
      <c r="C231" s="2" t="str">
        <f>"701-0114"</f>
        <v>701-0114</v>
      </c>
      <c r="D231" s="2" t="s">
        <v>317</v>
      </c>
      <c r="E231" s="1">
        <v>47483</v>
      </c>
    </row>
    <row r="232" spans="1:5" ht="30" customHeight="1" x14ac:dyDescent="0.4">
      <c r="A232" s="3">
        <v>229</v>
      </c>
      <c r="B232" s="2" t="s">
        <v>63</v>
      </c>
      <c r="C232" s="2" t="str">
        <f>"701-0114"</f>
        <v>701-0114</v>
      </c>
      <c r="D232" s="2" t="str">
        <f>"倉敷市松島１１００－１"</f>
        <v>倉敷市松島１１００－１</v>
      </c>
      <c r="E232" s="1">
        <v>47483</v>
      </c>
    </row>
    <row r="233" spans="1:5" ht="30" customHeight="1" x14ac:dyDescent="0.4">
      <c r="A233" s="3">
        <v>230</v>
      </c>
      <c r="B233" s="2" t="s">
        <v>67</v>
      </c>
      <c r="C233" s="2" t="str">
        <f>"710-0047"</f>
        <v>710-0047</v>
      </c>
      <c r="D233" s="2" t="str">
        <f>"倉敷市大島３５３－３２"</f>
        <v>倉敷市大島３５３－３２</v>
      </c>
      <c r="E233" s="1">
        <v>47483</v>
      </c>
    </row>
    <row r="234" spans="1:5" ht="30" customHeight="1" x14ac:dyDescent="0.4">
      <c r="A234" s="3">
        <v>231</v>
      </c>
      <c r="B234" s="2" t="s">
        <v>143</v>
      </c>
      <c r="C234" s="2" t="str">
        <f>"710-0065"</f>
        <v>710-0065</v>
      </c>
      <c r="D234" s="2" t="s">
        <v>144</v>
      </c>
      <c r="E234" s="1">
        <v>46387</v>
      </c>
    </row>
    <row r="235" spans="1:5" ht="30" customHeight="1" x14ac:dyDescent="0.4">
      <c r="A235" s="3">
        <v>232</v>
      </c>
      <c r="B235" s="2" t="s">
        <v>157</v>
      </c>
      <c r="C235" s="2" t="str">
        <f>"713-8125"</f>
        <v>713-8125</v>
      </c>
      <c r="D235" s="2" t="str">
        <f>"倉敷市玉島勇崎５８５－１"</f>
        <v>倉敷市玉島勇崎５８５－１</v>
      </c>
      <c r="E235" s="1">
        <v>46387</v>
      </c>
    </row>
    <row r="236" spans="1:5" ht="30" customHeight="1" x14ac:dyDescent="0.4">
      <c r="A236" s="3">
        <v>233</v>
      </c>
      <c r="B236" s="2" t="s">
        <v>229</v>
      </c>
      <c r="C236" s="2" t="str">
        <f>"710-0048"</f>
        <v>710-0048</v>
      </c>
      <c r="D236" s="2" t="str">
        <f>"倉敷市福島４９８－２"</f>
        <v>倉敷市福島４９８－２</v>
      </c>
      <c r="E236" s="1">
        <v>46387</v>
      </c>
    </row>
    <row r="237" spans="1:5" ht="30" customHeight="1" x14ac:dyDescent="0.4">
      <c r="A237" s="3">
        <v>234</v>
      </c>
      <c r="B237" s="2" t="s">
        <v>173</v>
      </c>
      <c r="C237" s="2" t="str">
        <f>"712-8014"</f>
        <v>712-8014</v>
      </c>
      <c r="D237" s="2" t="str">
        <f>"倉敷市連島中央１丁目１０－５"</f>
        <v>倉敷市連島中央１丁目１０－５</v>
      </c>
      <c r="E237" s="1">
        <v>46387</v>
      </c>
    </row>
    <row r="238" spans="1:5" ht="30" customHeight="1" x14ac:dyDescent="0.4">
      <c r="A238" s="3">
        <v>235</v>
      </c>
      <c r="B238" s="2" t="s">
        <v>243</v>
      </c>
      <c r="C238" s="2" t="str">
        <f>"713-8125"</f>
        <v>713-8125</v>
      </c>
      <c r="D238" s="2" t="str">
        <f>"倉敷市玉島勇崎９９６－６"</f>
        <v>倉敷市玉島勇崎９９６－６</v>
      </c>
      <c r="E238" s="1">
        <v>46387</v>
      </c>
    </row>
    <row r="239" spans="1:5" ht="30" customHeight="1" x14ac:dyDescent="0.4">
      <c r="A239" s="3">
        <v>236</v>
      </c>
      <c r="B239" s="2" t="s">
        <v>16</v>
      </c>
      <c r="C239" s="2" t="str">
        <f>"710-0844"</f>
        <v>710-0844</v>
      </c>
      <c r="D239" s="2" t="str">
        <f>"倉敷市福井４６－６"</f>
        <v>倉敷市福井４６－６</v>
      </c>
      <c r="E239" s="1">
        <v>46387</v>
      </c>
    </row>
    <row r="240" spans="1:5" ht="30" customHeight="1" x14ac:dyDescent="0.4">
      <c r="A240" s="3">
        <v>237</v>
      </c>
      <c r="B240" s="2" t="s">
        <v>155</v>
      </c>
      <c r="C240" s="2" t="str">
        <f>"713-8102"</f>
        <v>713-8102</v>
      </c>
      <c r="D240" s="2" t="str">
        <f>"倉敷市玉島１４０４－２２"</f>
        <v>倉敷市玉島１４０４－２２</v>
      </c>
      <c r="E240" s="1">
        <v>46387</v>
      </c>
    </row>
    <row r="241" spans="1:5" ht="30" customHeight="1" x14ac:dyDescent="0.4">
      <c r="A241" s="3">
        <v>238</v>
      </c>
      <c r="B241" s="2" t="s">
        <v>30</v>
      </c>
      <c r="C241" s="2" t="str">
        <f>"710-0842"</f>
        <v>710-0842</v>
      </c>
      <c r="D241" s="2" t="str">
        <f>"倉敷市吉岡５６１－１５"</f>
        <v>倉敷市吉岡５６１－１５</v>
      </c>
      <c r="E241" s="1">
        <v>46387</v>
      </c>
    </row>
    <row r="242" spans="1:5" ht="30" customHeight="1" x14ac:dyDescent="0.4">
      <c r="A242" s="3">
        <v>239</v>
      </c>
      <c r="B242" s="2" t="s">
        <v>24</v>
      </c>
      <c r="C242" s="2" t="str">
        <f>"710-0802"</f>
        <v>710-0802</v>
      </c>
      <c r="D242" s="2" t="str">
        <f>"倉敷市水江１５９４－５６"</f>
        <v>倉敷市水江１５９４－５６</v>
      </c>
      <c r="E242" s="1">
        <v>46387</v>
      </c>
    </row>
    <row r="243" spans="1:5" ht="30" customHeight="1" x14ac:dyDescent="0.4">
      <c r="A243" s="3">
        <v>240</v>
      </c>
      <c r="B243" s="2" t="s">
        <v>277</v>
      </c>
      <c r="C243" s="2" t="str">
        <f>"711-0906"</f>
        <v>711-0906</v>
      </c>
      <c r="D243" s="2" t="str">
        <f>"倉敷市児島下の町１０丁目２－１２"</f>
        <v>倉敷市児島下の町１０丁目２－１２</v>
      </c>
      <c r="E243" s="1">
        <v>46387</v>
      </c>
    </row>
    <row r="244" spans="1:5" ht="30" customHeight="1" x14ac:dyDescent="0.4">
      <c r="A244" s="3">
        <v>241</v>
      </c>
      <c r="B244" s="2" t="s">
        <v>246</v>
      </c>
      <c r="C244" s="2" t="str">
        <f>"710-0803"</f>
        <v>710-0803</v>
      </c>
      <c r="D244" s="2" t="str">
        <f>"倉敷市中島２５４２－３"</f>
        <v>倉敷市中島２５４２－３</v>
      </c>
      <c r="E244" s="1">
        <v>46752</v>
      </c>
    </row>
    <row r="245" spans="1:5" ht="30" customHeight="1" x14ac:dyDescent="0.4">
      <c r="A245" s="3">
        <v>242</v>
      </c>
      <c r="B245" s="2" t="s">
        <v>294</v>
      </c>
      <c r="C245" s="2" t="str">
        <f>"711-0922"</f>
        <v>711-0922</v>
      </c>
      <c r="D245" s="2" t="s">
        <v>295</v>
      </c>
      <c r="E245" s="1">
        <v>46387</v>
      </c>
    </row>
    <row r="246" spans="1:5" ht="30" customHeight="1" x14ac:dyDescent="0.4">
      <c r="A246" s="3">
        <v>243</v>
      </c>
      <c r="B246" s="2" t="s">
        <v>132</v>
      </c>
      <c r="C246" s="2" t="str">
        <f>"710-0142"</f>
        <v>710-0142</v>
      </c>
      <c r="D246" s="2" t="s">
        <v>133</v>
      </c>
      <c r="E246" s="1">
        <v>46387</v>
      </c>
    </row>
    <row r="247" spans="1:5" ht="30" customHeight="1" x14ac:dyDescent="0.4">
      <c r="A247" s="3">
        <v>244</v>
      </c>
      <c r="B247" s="2" t="s">
        <v>64</v>
      </c>
      <c r="C247" s="2" t="str">
        <f>"710-0835"</f>
        <v>710-0835</v>
      </c>
      <c r="D247" s="2" t="s">
        <v>65</v>
      </c>
      <c r="E247" s="1">
        <v>47483</v>
      </c>
    </row>
    <row r="248" spans="1:5" ht="30" customHeight="1" x14ac:dyDescent="0.4">
      <c r="A248" s="3">
        <v>245</v>
      </c>
      <c r="B248" s="2" t="s">
        <v>205</v>
      </c>
      <c r="C248" s="2" t="str">
        <f>"710-0253"</f>
        <v>710-0253</v>
      </c>
      <c r="D248" s="2" t="s">
        <v>206</v>
      </c>
      <c r="E248" s="1">
        <v>46387</v>
      </c>
    </row>
    <row r="249" spans="1:5" ht="30" customHeight="1" x14ac:dyDescent="0.4">
      <c r="A249" s="3">
        <v>246</v>
      </c>
      <c r="B249" s="2" t="s">
        <v>34</v>
      </c>
      <c r="C249" s="2" t="str">
        <f>"710-0813"</f>
        <v>710-0813</v>
      </c>
      <c r="D249" s="2" t="str">
        <f>"倉敷市寿町１０－２７"</f>
        <v>倉敷市寿町１０－２７</v>
      </c>
      <c r="E249" s="1">
        <v>46387</v>
      </c>
    </row>
    <row r="250" spans="1:5" ht="30" customHeight="1" x14ac:dyDescent="0.4">
      <c r="A250" s="3">
        <v>247</v>
      </c>
      <c r="B250" s="2" t="s">
        <v>75</v>
      </c>
      <c r="C250" s="2" t="str">
        <f>"712-8032"</f>
        <v>712-8032</v>
      </c>
      <c r="D250" s="2" t="str">
        <f>"倉敷市北畝2-10-20"</f>
        <v>倉敷市北畝2-10-20</v>
      </c>
      <c r="E250" s="1">
        <v>47118</v>
      </c>
    </row>
    <row r="251" spans="1:5" ht="30" customHeight="1" x14ac:dyDescent="0.4">
      <c r="A251" s="3">
        <v>248</v>
      </c>
      <c r="B251" s="2" t="s">
        <v>28</v>
      </c>
      <c r="C251" s="2" t="str">
        <f>"712-8002"</f>
        <v>712-8002</v>
      </c>
      <c r="D251" s="2" t="str">
        <f>"倉敷市連島町亀島新田４６８－２"</f>
        <v>倉敷市連島町亀島新田４６８－２</v>
      </c>
      <c r="E251" s="1">
        <v>46387</v>
      </c>
    </row>
    <row r="252" spans="1:5" ht="30" customHeight="1" x14ac:dyDescent="0.4">
      <c r="A252" s="3">
        <v>249</v>
      </c>
      <c r="B252" s="2" t="s">
        <v>220</v>
      </c>
      <c r="C252" s="2" t="str">
        <f>"710-0038"</f>
        <v>710-0038</v>
      </c>
      <c r="D252" s="2" t="s">
        <v>221</v>
      </c>
      <c r="E252" s="1">
        <v>46387</v>
      </c>
    </row>
    <row r="253" spans="1:5" ht="30" customHeight="1" x14ac:dyDescent="0.4">
      <c r="A253" s="3">
        <v>250</v>
      </c>
      <c r="B253" s="2" t="s">
        <v>179</v>
      </c>
      <c r="C253" s="2" t="str">
        <f>"710-0133"</f>
        <v>710-0133</v>
      </c>
      <c r="D253" s="2" t="str">
        <f>"倉敷市藤戸町藤戸２－１０"</f>
        <v>倉敷市藤戸町藤戸２－１０</v>
      </c>
      <c r="E253" s="1">
        <v>46387</v>
      </c>
    </row>
    <row r="254" spans="1:5" ht="30" customHeight="1" x14ac:dyDescent="0.4">
      <c r="A254" s="3">
        <v>251</v>
      </c>
      <c r="B254" s="2" t="s">
        <v>31</v>
      </c>
      <c r="C254" s="2" t="str">
        <f>"710-0834"</f>
        <v>710-0834</v>
      </c>
      <c r="D254" s="2" t="str">
        <f>"倉敷市笹沖６０８－３"</f>
        <v>倉敷市笹沖６０８－３</v>
      </c>
      <c r="E254" s="1">
        <v>46387</v>
      </c>
    </row>
    <row r="255" spans="1:5" ht="30" customHeight="1" x14ac:dyDescent="0.4">
      <c r="A255" s="3">
        <v>252</v>
      </c>
      <c r="B255" s="2" t="s">
        <v>69</v>
      </c>
      <c r="C255" s="2" t="str">
        <f>"710-1101"</f>
        <v>710-1101</v>
      </c>
      <c r="D255" s="2" t="s">
        <v>11</v>
      </c>
      <c r="E255" s="1">
        <v>46387</v>
      </c>
    </row>
    <row r="256" spans="1:5" ht="30" customHeight="1" x14ac:dyDescent="0.4">
      <c r="A256" s="3">
        <v>253</v>
      </c>
      <c r="B256" s="2" t="s">
        <v>8</v>
      </c>
      <c r="C256" s="2" t="str">
        <f>"710-0833"</f>
        <v>710-0833</v>
      </c>
      <c r="D256" s="2" t="s">
        <v>139</v>
      </c>
      <c r="E256" s="1">
        <v>46387</v>
      </c>
    </row>
    <row r="257" spans="1:5" ht="30" customHeight="1" x14ac:dyDescent="0.4">
      <c r="A257" s="3">
        <v>254</v>
      </c>
      <c r="B257" s="2" t="s">
        <v>121</v>
      </c>
      <c r="C257" s="2" t="str">
        <f>"713-8101"</f>
        <v>713-8101</v>
      </c>
      <c r="D257" s="2" t="str">
        <f>"倉敷市玉島上成５３９－５"</f>
        <v>倉敷市玉島上成５３９－５</v>
      </c>
      <c r="E257" s="1">
        <v>46387</v>
      </c>
    </row>
    <row r="258" spans="1:5" ht="30" customHeight="1" x14ac:dyDescent="0.4">
      <c r="A258" s="3">
        <v>255</v>
      </c>
      <c r="B258" s="2" t="s">
        <v>190</v>
      </c>
      <c r="C258" s="2" t="str">
        <f>"710-0842"</f>
        <v>710-0842</v>
      </c>
      <c r="D258" s="2" t="s">
        <v>191</v>
      </c>
      <c r="E258" s="1">
        <v>46387</v>
      </c>
    </row>
    <row r="259" spans="1:5" ht="30" customHeight="1" x14ac:dyDescent="0.4">
      <c r="A259" s="3">
        <v>256</v>
      </c>
      <c r="B259" s="2" t="s">
        <v>210</v>
      </c>
      <c r="C259" s="2" t="str">
        <f>"710-0038"</f>
        <v>710-0038</v>
      </c>
      <c r="D259" s="2" t="s">
        <v>211</v>
      </c>
      <c r="E259" s="1">
        <v>47848</v>
      </c>
    </row>
    <row r="260" spans="1:5" ht="30" customHeight="1" x14ac:dyDescent="0.4">
      <c r="A260" s="3">
        <v>257</v>
      </c>
      <c r="B260" s="2" t="s">
        <v>352</v>
      </c>
      <c r="C260" s="2" t="str">
        <f>"708-0884"</f>
        <v>708-0884</v>
      </c>
      <c r="D260" s="2" t="s">
        <v>353</v>
      </c>
      <c r="E260" s="1">
        <v>46387</v>
      </c>
    </row>
    <row r="261" spans="1:5" ht="30" customHeight="1" x14ac:dyDescent="0.4">
      <c r="A261" s="3">
        <v>258</v>
      </c>
      <c r="B261" s="2" t="s">
        <v>384</v>
      </c>
      <c r="C261" s="2" t="str">
        <f>"708-0841"</f>
        <v>708-0841</v>
      </c>
      <c r="D261" s="2" t="str">
        <f>"津山市川崎５５４－５"</f>
        <v>津山市川崎５５４－５</v>
      </c>
      <c r="E261" s="1">
        <v>46387</v>
      </c>
    </row>
    <row r="262" spans="1:5" ht="30" customHeight="1" x14ac:dyDescent="0.4">
      <c r="A262" s="3">
        <v>259</v>
      </c>
      <c r="B262" s="2" t="s">
        <v>374</v>
      </c>
      <c r="C262" s="2" t="str">
        <f>"708-0013"</f>
        <v>708-0013</v>
      </c>
      <c r="D262" s="2" t="str">
        <f>"津山市二宮１９００－５"</f>
        <v>津山市二宮１９００－５</v>
      </c>
      <c r="E262" s="1">
        <v>46387</v>
      </c>
    </row>
    <row r="263" spans="1:5" ht="30" customHeight="1" x14ac:dyDescent="0.4">
      <c r="A263" s="3">
        <v>260</v>
      </c>
      <c r="B263" s="2" t="s">
        <v>919</v>
      </c>
      <c r="C263" s="2" t="str">
        <f>"708-0022"</f>
        <v>708-0022</v>
      </c>
      <c r="D263" s="2" t="s">
        <v>369</v>
      </c>
      <c r="E263" s="1">
        <v>46387</v>
      </c>
    </row>
    <row r="264" spans="1:5" ht="30" customHeight="1" x14ac:dyDescent="0.4">
      <c r="A264" s="3">
        <v>261</v>
      </c>
      <c r="B264" s="2" t="s">
        <v>367</v>
      </c>
      <c r="C264" s="2" t="str">
        <f>"708-0022"</f>
        <v>708-0022</v>
      </c>
      <c r="D264" s="2" t="s">
        <v>368</v>
      </c>
      <c r="E264" s="1">
        <v>46387</v>
      </c>
    </row>
    <row r="265" spans="1:5" ht="30" customHeight="1" x14ac:dyDescent="0.4">
      <c r="A265" s="3">
        <v>262</v>
      </c>
      <c r="B265" s="2" t="s">
        <v>330</v>
      </c>
      <c r="C265" s="2" t="str">
        <f>"708-0022"</f>
        <v>708-0022</v>
      </c>
      <c r="D265" s="2" t="str">
        <f>"津山市山下９－５"</f>
        <v>津山市山下９－５</v>
      </c>
      <c r="E265" s="1">
        <v>46387</v>
      </c>
    </row>
    <row r="266" spans="1:5" ht="30" customHeight="1" x14ac:dyDescent="0.4">
      <c r="A266" s="3">
        <v>263</v>
      </c>
      <c r="B266" s="2" t="s">
        <v>322</v>
      </c>
      <c r="C266" s="2" t="str">
        <f>"708-0004"</f>
        <v>708-0004</v>
      </c>
      <c r="D266" s="2" t="str">
        <f>"津山市山北４３５－８"</f>
        <v>津山市山北４３５－８</v>
      </c>
      <c r="E266" s="1">
        <v>46387</v>
      </c>
    </row>
    <row r="267" spans="1:5" ht="30" customHeight="1" x14ac:dyDescent="0.4">
      <c r="A267" s="3">
        <v>264</v>
      </c>
      <c r="B267" s="2" t="s">
        <v>923</v>
      </c>
      <c r="C267" s="2" t="str">
        <f>"708-0842"</f>
        <v>708-0842</v>
      </c>
      <c r="D267" s="2" t="str">
        <f>"津山市河辺９４５－１７"</f>
        <v>津山市河辺９４５－１７</v>
      </c>
      <c r="E267" s="1">
        <v>46387</v>
      </c>
    </row>
    <row r="268" spans="1:5" ht="30" customHeight="1" x14ac:dyDescent="0.4">
      <c r="A268" s="3">
        <v>265</v>
      </c>
      <c r="B268" s="2" t="s">
        <v>326</v>
      </c>
      <c r="C268" s="2" t="str">
        <f>"708-0004"</f>
        <v>708-0004</v>
      </c>
      <c r="D268" s="2" t="s">
        <v>327</v>
      </c>
      <c r="E268" s="1">
        <v>46387</v>
      </c>
    </row>
    <row r="269" spans="1:5" ht="30" customHeight="1" x14ac:dyDescent="0.4">
      <c r="A269" s="3">
        <v>266</v>
      </c>
      <c r="B269" s="2" t="s">
        <v>380</v>
      </c>
      <c r="C269" s="2" t="str">
        <f>"708-0842"</f>
        <v>708-0842</v>
      </c>
      <c r="D269" s="2" t="str">
        <f>"津山市河辺９３３－３"</f>
        <v>津山市河辺９３３－３</v>
      </c>
      <c r="E269" s="1">
        <v>46387</v>
      </c>
    </row>
    <row r="270" spans="1:5" ht="30" customHeight="1" x14ac:dyDescent="0.4">
      <c r="A270" s="3">
        <v>267</v>
      </c>
      <c r="B270" s="2" t="s">
        <v>346</v>
      </c>
      <c r="C270" s="2" t="str">
        <f>"708-0841"</f>
        <v>708-0841</v>
      </c>
      <c r="D270" s="2" t="s">
        <v>347</v>
      </c>
      <c r="E270" s="1">
        <v>46387</v>
      </c>
    </row>
    <row r="271" spans="1:5" ht="30" customHeight="1" x14ac:dyDescent="0.4">
      <c r="A271" s="3">
        <v>268</v>
      </c>
      <c r="B271" s="2" t="s">
        <v>370</v>
      </c>
      <c r="C271" s="2" t="str">
        <f>"708-0052"</f>
        <v>708-0052</v>
      </c>
      <c r="D271" s="2" t="s">
        <v>371</v>
      </c>
      <c r="E271" s="1">
        <v>46387</v>
      </c>
    </row>
    <row r="272" spans="1:5" ht="30" customHeight="1" x14ac:dyDescent="0.4">
      <c r="A272" s="3">
        <v>269</v>
      </c>
      <c r="B272" s="2" t="s">
        <v>357</v>
      </c>
      <c r="C272" s="2" t="str">
        <f>"708-0842"</f>
        <v>708-0842</v>
      </c>
      <c r="D272" s="2" t="str">
        <f>"津山市河辺９４３－１"</f>
        <v>津山市河辺９４３－１</v>
      </c>
      <c r="E272" s="1">
        <v>46387</v>
      </c>
    </row>
    <row r="273" spans="1:5" ht="30" customHeight="1" x14ac:dyDescent="0.4">
      <c r="A273" s="3">
        <v>270</v>
      </c>
      <c r="B273" s="2" t="s">
        <v>356</v>
      </c>
      <c r="C273" s="2" t="str">
        <f>"708-0002"</f>
        <v>708-0002</v>
      </c>
      <c r="D273" s="2" t="str">
        <f>"津山市上河原２２２－７"</f>
        <v>津山市上河原２２２－７</v>
      </c>
      <c r="E273" s="1">
        <v>46387</v>
      </c>
    </row>
    <row r="274" spans="1:5" ht="30" customHeight="1" x14ac:dyDescent="0.4">
      <c r="A274" s="3">
        <v>271</v>
      </c>
      <c r="B274" s="2" t="s">
        <v>388</v>
      </c>
      <c r="C274" s="2" t="str">
        <f>"708-0806"</f>
        <v>708-0806</v>
      </c>
      <c r="D274" s="2" t="str">
        <f>"津山市大田４５２－６"</f>
        <v>津山市大田４５２－６</v>
      </c>
      <c r="E274" s="1">
        <v>47118</v>
      </c>
    </row>
    <row r="275" spans="1:5" ht="30" customHeight="1" x14ac:dyDescent="0.4">
      <c r="A275" s="3">
        <v>272</v>
      </c>
      <c r="B275" s="2" t="s">
        <v>1677</v>
      </c>
      <c r="C275" s="2" t="str">
        <f>"708-0052"</f>
        <v>708-0052</v>
      </c>
      <c r="D275" s="2" t="s">
        <v>377</v>
      </c>
      <c r="E275" s="1">
        <v>47848</v>
      </c>
    </row>
    <row r="276" spans="1:5" ht="30" customHeight="1" x14ac:dyDescent="0.4">
      <c r="A276" s="3">
        <v>273</v>
      </c>
      <c r="B276" s="2" t="s">
        <v>787</v>
      </c>
      <c r="C276" s="2" t="str">
        <f>"708-1224"</f>
        <v>708-1224</v>
      </c>
      <c r="D276" s="2" t="str">
        <f>"津山市上村６２－１"</f>
        <v>津山市上村６２－１</v>
      </c>
      <c r="E276" s="1">
        <v>46387</v>
      </c>
    </row>
    <row r="277" spans="1:5" ht="30" customHeight="1" x14ac:dyDescent="0.4">
      <c r="A277" s="3">
        <v>274</v>
      </c>
      <c r="B277" s="2" t="s">
        <v>354</v>
      </c>
      <c r="C277" s="2" t="str">
        <f>"708-0013"</f>
        <v>708-0013</v>
      </c>
      <c r="D277" s="2" t="s">
        <v>355</v>
      </c>
      <c r="E277" s="1">
        <v>46387</v>
      </c>
    </row>
    <row r="278" spans="1:5" ht="30" customHeight="1" x14ac:dyDescent="0.4">
      <c r="A278" s="3">
        <v>275</v>
      </c>
      <c r="B278" s="2" t="s">
        <v>344</v>
      </c>
      <c r="C278" s="2" t="str">
        <f>"708-0813"</f>
        <v>708-0813</v>
      </c>
      <c r="D278" s="2" t="s">
        <v>345</v>
      </c>
      <c r="E278" s="1">
        <v>46387</v>
      </c>
    </row>
    <row r="279" spans="1:5" ht="30" customHeight="1" x14ac:dyDescent="0.4">
      <c r="A279" s="3">
        <v>276</v>
      </c>
      <c r="B279" s="2" t="s">
        <v>350</v>
      </c>
      <c r="C279" s="2" t="str">
        <f>"708-0051"</f>
        <v>708-0051</v>
      </c>
      <c r="D279" s="2" t="s">
        <v>351</v>
      </c>
      <c r="E279" s="1">
        <v>46387</v>
      </c>
    </row>
    <row r="280" spans="1:5" ht="30" customHeight="1" x14ac:dyDescent="0.4">
      <c r="A280" s="3">
        <v>277</v>
      </c>
      <c r="B280" s="2" t="s">
        <v>340</v>
      </c>
      <c r="C280" s="2" t="str">
        <f>"708-0052"</f>
        <v>708-0052</v>
      </c>
      <c r="D280" s="2" t="s">
        <v>341</v>
      </c>
      <c r="E280" s="1">
        <v>46387</v>
      </c>
    </row>
    <row r="281" spans="1:5" ht="30" customHeight="1" x14ac:dyDescent="0.4">
      <c r="A281" s="3">
        <v>278</v>
      </c>
      <c r="B281" s="2" t="s">
        <v>397</v>
      </c>
      <c r="C281" s="2" t="str">
        <f>"709-4613"</f>
        <v>709-4613</v>
      </c>
      <c r="D281" s="2" t="s">
        <v>398</v>
      </c>
      <c r="E281" s="1">
        <v>46387</v>
      </c>
    </row>
    <row r="282" spans="1:5" ht="30" customHeight="1" x14ac:dyDescent="0.4">
      <c r="A282" s="3">
        <v>279</v>
      </c>
      <c r="B282" s="2" t="s">
        <v>334</v>
      </c>
      <c r="C282" s="2" t="str">
        <f>"708-0825"</f>
        <v>708-0825</v>
      </c>
      <c r="D282" s="2" t="str">
        <f>"津山市志戸部６５１－１"</f>
        <v>津山市志戸部６５１－１</v>
      </c>
      <c r="E282" s="1">
        <v>46387</v>
      </c>
    </row>
    <row r="283" spans="1:5" ht="30" customHeight="1" x14ac:dyDescent="0.4">
      <c r="A283" s="3">
        <v>280</v>
      </c>
      <c r="B283" s="2" t="s">
        <v>400</v>
      </c>
      <c r="C283" s="2" t="str">
        <f>"708-0824"</f>
        <v>708-0824</v>
      </c>
      <c r="D283" s="2" t="str">
        <f>"津山市沼８５６－３"</f>
        <v>津山市沼８５６－３</v>
      </c>
      <c r="E283" s="1">
        <v>47483</v>
      </c>
    </row>
    <row r="284" spans="1:5" ht="30" customHeight="1" x14ac:dyDescent="0.4">
      <c r="A284" s="3">
        <v>281</v>
      </c>
      <c r="B284" s="2" t="s">
        <v>395</v>
      </c>
      <c r="C284" s="2" t="str">
        <f>"708-1125"</f>
        <v>708-1125</v>
      </c>
      <c r="D284" s="2" t="s">
        <v>396</v>
      </c>
      <c r="E284" s="1">
        <v>46387</v>
      </c>
    </row>
    <row r="285" spans="1:5" ht="30" customHeight="1" x14ac:dyDescent="0.4">
      <c r="A285" s="3">
        <v>282</v>
      </c>
      <c r="B285" s="2" t="s">
        <v>328</v>
      </c>
      <c r="C285" s="2" t="str">
        <f>"708-0001"</f>
        <v>708-0001</v>
      </c>
      <c r="D285" s="2" t="str">
        <f>"津山市小原１２５－１５"</f>
        <v>津山市小原１２５－１５</v>
      </c>
      <c r="E285" s="1">
        <v>46387</v>
      </c>
    </row>
    <row r="286" spans="1:5" ht="30" customHeight="1" x14ac:dyDescent="0.4">
      <c r="A286" s="3">
        <v>283</v>
      </c>
      <c r="B286" s="2" t="s">
        <v>399</v>
      </c>
      <c r="C286" s="2" t="str">
        <f>"709-4625"</f>
        <v>709-4625</v>
      </c>
      <c r="D286" s="2" t="str">
        <f>"津山市里公文1674-1"</f>
        <v>津山市里公文1674-1</v>
      </c>
      <c r="E286" s="1">
        <v>47118</v>
      </c>
    </row>
    <row r="287" spans="1:5" ht="30" customHeight="1" x14ac:dyDescent="0.4">
      <c r="A287" s="3">
        <v>284</v>
      </c>
      <c r="B287" s="2" t="s">
        <v>796</v>
      </c>
      <c r="C287" s="2" t="str">
        <f>"708-1215"</f>
        <v>708-1215</v>
      </c>
      <c r="D287" s="2" t="str">
        <f>"津山市杉宮１４－２"</f>
        <v>津山市杉宮１４－２</v>
      </c>
      <c r="E287" s="1">
        <v>46387</v>
      </c>
    </row>
    <row r="288" spans="1:5" ht="30" customHeight="1" x14ac:dyDescent="0.4">
      <c r="A288" s="3">
        <v>285</v>
      </c>
      <c r="B288" s="2" t="s">
        <v>793</v>
      </c>
      <c r="C288" s="2" t="str">
        <f>"708-1223"</f>
        <v>708-1223</v>
      </c>
      <c r="D288" s="2" t="str">
        <f>"津山市坂上２２１－１"</f>
        <v>津山市坂上２２１－１</v>
      </c>
      <c r="E288" s="1">
        <v>46387</v>
      </c>
    </row>
    <row r="289" spans="1:5" ht="30" customHeight="1" x14ac:dyDescent="0.4">
      <c r="A289" s="3">
        <v>286</v>
      </c>
      <c r="B289" s="2" t="s">
        <v>323</v>
      </c>
      <c r="C289" s="2" t="str">
        <f>"708-0052"</f>
        <v>708-0052</v>
      </c>
      <c r="D289" s="2" t="s">
        <v>324</v>
      </c>
      <c r="E289" s="1">
        <v>46387</v>
      </c>
    </row>
    <row r="290" spans="1:5" ht="30" customHeight="1" x14ac:dyDescent="0.4">
      <c r="A290" s="3">
        <v>287</v>
      </c>
      <c r="B290" s="2" t="s">
        <v>336</v>
      </c>
      <c r="C290" s="2" t="str">
        <f>"708-0883"</f>
        <v>708-0883</v>
      </c>
      <c r="D290" s="2" t="s">
        <v>337</v>
      </c>
      <c r="E290" s="1">
        <v>46387</v>
      </c>
    </row>
    <row r="291" spans="1:5" ht="30" customHeight="1" x14ac:dyDescent="0.4">
      <c r="A291" s="3">
        <v>288</v>
      </c>
      <c r="B291" s="2" t="s">
        <v>358</v>
      </c>
      <c r="C291" s="2" t="str">
        <f>"708-1117"</f>
        <v>708-1117</v>
      </c>
      <c r="D291" s="2" t="str">
        <f>"津山市草加部９５５－１"</f>
        <v>津山市草加部９５５－１</v>
      </c>
      <c r="E291" s="1">
        <v>46387</v>
      </c>
    </row>
    <row r="292" spans="1:5" ht="30" customHeight="1" x14ac:dyDescent="0.4">
      <c r="A292" s="3">
        <v>289</v>
      </c>
      <c r="B292" s="2" t="s">
        <v>778</v>
      </c>
      <c r="C292" s="2" t="str">
        <f>"709-3905"</f>
        <v>709-3905</v>
      </c>
      <c r="D292" s="2" t="s">
        <v>779</v>
      </c>
      <c r="E292" s="1">
        <v>46387</v>
      </c>
    </row>
    <row r="293" spans="1:5" ht="30" customHeight="1" x14ac:dyDescent="0.4">
      <c r="A293" s="3">
        <v>290</v>
      </c>
      <c r="B293" s="2" t="s">
        <v>365</v>
      </c>
      <c r="C293" s="2" t="str">
        <f>"708-0051"</f>
        <v>708-0051</v>
      </c>
      <c r="D293" s="2" t="s">
        <v>366</v>
      </c>
      <c r="E293" s="1">
        <v>46387</v>
      </c>
    </row>
    <row r="294" spans="1:5" ht="30" customHeight="1" x14ac:dyDescent="0.4">
      <c r="A294" s="3">
        <v>291</v>
      </c>
      <c r="B294" s="2" t="s">
        <v>390</v>
      </c>
      <c r="C294" s="2" t="str">
        <f>"708-0814"</f>
        <v>708-0814</v>
      </c>
      <c r="D294" s="2" t="str">
        <f>"津山市東一宮２－８"</f>
        <v>津山市東一宮２－８</v>
      </c>
      <c r="E294" s="1">
        <v>47483</v>
      </c>
    </row>
    <row r="295" spans="1:5" ht="30" customHeight="1" x14ac:dyDescent="0.4">
      <c r="A295" s="3">
        <v>292</v>
      </c>
      <c r="B295" s="2" t="s">
        <v>921</v>
      </c>
      <c r="C295" s="2" t="str">
        <f>"708-0824"</f>
        <v>708-0824</v>
      </c>
      <c r="D295" s="2" t="s">
        <v>922</v>
      </c>
      <c r="E295" s="1">
        <v>46387</v>
      </c>
    </row>
    <row r="296" spans="1:5" ht="30" customHeight="1" x14ac:dyDescent="0.4">
      <c r="A296" s="3">
        <v>293</v>
      </c>
      <c r="B296" s="2" t="s">
        <v>372</v>
      </c>
      <c r="C296" s="2" t="str">
        <f>"708-0871"</f>
        <v>708-0871</v>
      </c>
      <c r="D296" s="2" t="s">
        <v>373</v>
      </c>
      <c r="E296" s="1">
        <v>46387</v>
      </c>
    </row>
    <row r="297" spans="1:5" ht="30" customHeight="1" x14ac:dyDescent="0.4">
      <c r="A297" s="3">
        <v>294</v>
      </c>
      <c r="B297" s="2" t="s">
        <v>338</v>
      </c>
      <c r="C297" s="2" t="str">
        <f>"708-0024"</f>
        <v>708-0024</v>
      </c>
      <c r="D297" s="2" t="s">
        <v>339</v>
      </c>
      <c r="E297" s="1">
        <v>46387</v>
      </c>
    </row>
    <row r="298" spans="1:5" ht="30" customHeight="1" x14ac:dyDescent="0.4">
      <c r="A298" s="3">
        <v>295</v>
      </c>
      <c r="B298" s="2" t="s">
        <v>361</v>
      </c>
      <c r="C298" s="2" t="str">
        <f>"708-0024"</f>
        <v>708-0024</v>
      </c>
      <c r="D298" s="2" t="s">
        <v>362</v>
      </c>
      <c r="E298" s="1">
        <v>46387</v>
      </c>
    </row>
    <row r="299" spans="1:5" ht="30" customHeight="1" x14ac:dyDescent="0.4">
      <c r="A299" s="3">
        <v>296</v>
      </c>
      <c r="B299" s="2" t="s">
        <v>359</v>
      </c>
      <c r="C299" s="2" t="str">
        <f>"708-0841"</f>
        <v>708-0841</v>
      </c>
      <c r="D299" s="2" t="s">
        <v>360</v>
      </c>
      <c r="E299" s="1">
        <v>46387</v>
      </c>
    </row>
    <row r="300" spans="1:5" ht="30" customHeight="1" x14ac:dyDescent="0.4">
      <c r="A300" s="3">
        <v>297</v>
      </c>
      <c r="B300" s="2" t="s">
        <v>385</v>
      </c>
      <c r="C300" s="2" t="str">
        <f>"708-1125"</f>
        <v>708-1125</v>
      </c>
      <c r="D300" s="2" t="s">
        <v>386</v>
      </c>
      <c r="E300" s="1">
        <v>46387</v>
      </c>
    </row>
    <row r="301" spans="1:5" ht="30" customHeight="1" x14ac:dyDescent="0.4">
      <c r="A301" s="3">
        <v>298</v>
      </c>
      <c r="B301" s="2" t="s">
        <v>335</v>
      </c>
      <c r="C301" s="2" t="str">
        <f>"708-0842"</f>
        <v>708-0842</v>
      </c>
      <c r="D301" s="2" t="str">
        <f>"津山市河辺１０３７－１"</f>
        <v>津山市河辺１０３７－１</v>
      </c>
      <c r="E301" s="1">
        <v>47118</v>
      </c>
    </row>
    <row r="302" spans="1:5" ht="30" customHeight="1" x14ac:dyDescent="0.4">
      <c r="A302" s="3">
        <v>299</v>
      </c>
      <c r="B302" s="2" t="s">
        <v>325</v>
      </c>
      <c r="C302" s="2" t="str">
        <f>"708-0824"</f>
        <v>708-0824</v>
      </c>
      <c r="D302" s="2" t="str">
        <f>"津山市沼８５４－６"</f>
        <v>津山市沼８５４－６</v>
      </c>
      <c r="E302" s="1">
        <v>46387</v>
      </c>
    </row>
    <row r="303" spans="1:5" ht="30" customHeight="1" x14ac:dyDescent="0.4">
      <c r="A303" s="3">
        <v>300</v>
      </c>
      <c r="B303" s="2" t="s">
        <v>342</v>
      </c>
      <c r="C303" s="2" t="str">
        <f>"708-0052"</f>
        <v>708-0052</v>
      </c>
      <c r="D303" s="2" t="s">
        <v>343</v>
      </c>
      <c r="E303" s="1">
        <v>46387</v>
      </c>
    </row>
    <row r="304" spans="1:5" ht="30" customHeight="1" x14ac:dyDescent="0.4">
      <c r="A304" s="3">
        <v>301</v>
      </c>
      <c r="B304" s="2" t="s">
        <v>329</v>
      </c>
      <c r="C304" s="2" t="str">
        <f>"708-0814"</f>
        <v>708-0814</v>
      </c>
      <c r="D304" s="2" t="str">
        <f>"津山市東一宮４３－１３"</f>
        <v>津山市東一宮４３－１３</v>
      </c>
      <c r="E304" s="1">
        <v>46387</v>
      </c>
    </row>
    <row r="305" spans="1:5" ht="30" customHeight="1" x14ac:dyDescent="0.4">
      <c r="A305" s="3">
        <v>302</v>
      </c>
      <c r="B305" s="2" t="s">
        <v>376</v>
      </c>
      <c r="C305" s="2" t="str">
        <f>"708-0052"</f>
        <v>708-0052</v>
      </c>
      <c r="D305" s="2" t="s">
        <v>377</v>
      </c>
      <c r="E305" s="1">
        <v>46387</v>
      </c>
    </row>
    <row r="306" spans="1:5" ht="30" customHeight="1" x14ac:dyDescent="0.4">
      <c r="A306" s="3">
        <v>303</v>
      </c>
      <c r="B306" s="2" t="s">
        <v>789</v>
      </c>
      <c r="C306" s="2" t="str">
        <f>"708-1204"</f>
        <v>708-1204</v>
      </c>
      <c r="D306" s="2" t="s">
        <v>387</v>
      </c>
      <c r="E306" s="1">
        <v>46387</v>
      </c>
    </row>
    <row r="307" spans="1:5" ht="30" customHeight="1" x14ac:dyDescent="0.4">
      <c r="A307" s="3">
        <v>304</v>
      </c>
      <c r="B307" s="2" t="s">
        <v>382</v>
      </c>
      <c r="C307" s="2" t="str">
        <f>"708-0842"</f>
        <v>708-0842</v>
      </c>
      <c r="D307" s="2" t="s">
        <v>383</v>
      </c>
      <c r="E307" s="1">
        <v>46752</v>
      </c>
    </row>
    <row r="308" spans="1:5" ht="30" customHeight="1" x14ac:dyDescent="0.4">
      <c r="A308" s="3">
        <v>305</v>
      </c>
      <c r="B308" s="2" t="s">
        <v>391</v>
      </c>
      <c r="C308" s="2" t="str">
        <f>"709-3931"</f>
        <v>709-3931</v>
      </c>
      <c r="D308" s="2" t="s">
        <v>392</v>
      </c>
      <c r="E308" s="1">
        <v>46387</v>
      </c>
    </row>
    <row r="309" spans="1:5" ht="30" customHeight="1" x14ac:dyDescent="0.4">
      <c r="A309" s="3">
        <v>306</v>
      </c>
      <c r="B309" s="2" t="s">
        <v>381</v>
      </c>
      <c r="C309" s="2" t="str">
        <f>"708-0872"</f>
        <v>708-0872</v>
      </c>
      <c r="D309" s="2" t="str">
        <f>"津山市平福５４６－１"</f>
        <v>津山市平福５４６－１</v>
      </c>
      <c r="E309" s="1">
        <v>46387</v>
      </c>
    </row>
    <row r="310" spans="1:5" ht="30" customHeight="1" x14ac:dyDescent="0.4">
      <c r="A310" s="3">
        <v>307</v>
      </c>
      <c r="B310" s="2" t="s">
        <v>333</v>
      </c>
      <c r="C310" s="2" t="str">
        <f>"708-0814"</f>
        <v>708-0814</v>
      </c>
      <c r="D310" s="2" t="str">
        <f>"津山市東一宮４３－１２"</f>
        <v>津山市東一宮４３－１２</v>
      </c>
      <c r="E310" s="1">
        <v>46387</v>
      </c>
    </row>
    <row r="311" spans="1:5" ht="30" customHeight="1" x14ac:dyDescent="0.4">
      <c r="A311" s="3">
        <v>308</v>
      </c>
      <c r="B311" s="2" t="s">
        <v>348</v>
      </c>
      <c r="C311" s="2" t="str">
        <f>"708-0001"</f>
        <v>708-0001</v>
      </c>
      <c r="D311" s="2" t="str">
        <f>"津山市小原２５－５"</f>
        <v>津山市小原２５－５</v>
      </c>
      <c r="E311" s="1">
        <v>46387</v>
      </c>
    </row>
    <row r="312" spans="1:5" ht="30" customHeight="1" x14ac:dyDescent="0.4">
      <c r="A312" s="3">
        <v>309</v>
      </c>
      <c r="B312" s="2" t="s">
        <v>792</v>
      </c>
      <c r="C312" s="2" t="str">
        <f>"708-1205"</f>
        <v>708-1205</v>
      </c>
      <c r="D312" s="2" t="str">
        <f>"津山市新野東１７９７－１２"</f>
        <v>津山市新野東１７９７－１２</v>
      </c>
      <c r="E312" s="1">
        <v>46387</v>
      </c>
    </row>
    <row r="313" spans="1:5" ht="30" customHeight="1" x14ac:dyDescent="0.4">
      <c r="A313" s="3">
        <v>310</v>
      </c>
      <c r="B313" s="2" t="s">
        <v>375</v>
      </c>
      <c r="C313" s="2" t="str">
        <f>"708-0001"</f>
        <v>708-0001</v>
      </c>
      <c r="D313" s="2" t="str">
        <f>"津山市小原７９－５"</f>
        <v>津山市小原７９－５</v>
      </c>
      <c r="E313" s="1">
        <v>46387</v>
      </c>
    </row>
    <row r="314" spans="1:5" ht="30" customHeight="1" x14ac:dyDescent="0.4">
      <c r="A314" s="3">
        <v>311</v>
      </c>
      <c r="B314" s="2" t="s">
        <v>393</v>
      </c>
      <c r="C314" s="2" t="str">
        <f>"708-0067"</f>
        <v>708-0067</v>
      </c>
      <c r="D314" s="2" t="s">
        <v>394</v>
      </c>
      <c r="E314" s="1">
        <v>46387</v>
      </c>
    </row>
    <row r="315" spans="1:5" ht="30" customHeight="1" x14ac:dyDescent="0.4">
      <c r="A315" s="3">
        <v>312</v>
      </c>
      <c r="B315" s="2" t="s">
        <v>378</v>
      </c>
      <c r="C315" s="2" t="str">
        <f>"709-3931"</f>
        <v>709-3931</v>
      </c>
      <c r="D315" s="2" t="s">
        <v>379</v>
      </c>
      <c r="E315" s="1">
        <v>46387</v>
      </c>
    </row>
    <row r="316" spans="1:5" ht="30" customHeight="1" x14ac:dyDescent="0.4">
      <c r="A316" s="3">
        <v>313</v>
      </c>
      <c r="B316" s="2" t="s">
        <v>363</v>
      </c>
      <c r="C316" s="2" t="str">
        <f>"708-0036"</f>
        <v>708-0036</v>
      </c>
      <c r="D316" s="2" t="s">
        <v>364</v>
      </c>
      <c r="E316" s="1">
        <v>46387</v>
      </c>
    </row>
    <row r="317" spans="1:5" ht="30" customHeight="1" x14ac:dyDescent="0.4">
      <c r="A317" s="3">
        <v>314</v>
      </c>
      <c r="B317" s="2" t="s">
        <v>331</v>
      </c>
      <c r="C317" s="2" t="str">
        <f>"708-0036"</f>
        <v>708-0036</v>
      </c>
      <c r="D317" s="2" t="s">
        <v>332</v>
      </c>
      <c r="E317" s="1">
        <v>46387</v>
      </c>
    </row>
    <row r="318" spans="1:5" ht="30" customHeight="1" x14ac:dyDescent="0.4">
      <c r="A318" s="3">
        <v>315</v>
      </c>
      <c r="B318" s="2" t="s">
        <v>920</v>
      </c>
      <c r="C318" s="2" t="str">
        <f>"708-0873"</f>
        <v>708-0873</v>
      </c>
      <c r="D318" s="2" t="str">
        <f>"津山市皿６８８－１"</f>
        <v>津山市皿６８８－１</v>
      </c>
      <c r="E318" s="1">
        <v>46387</v>
      </c>
    </row>
    <row r="319" spans="1:5" ht="30" customHeight="1" x14ac:dyDescent="0.4">
      <c r="A319" s="3">
        <v>316</v>
      </c>
      <c r="B319" s="2" t="s">
        <v>349</v>
      </c>
      <c r="C319" s="2" t="str">
        <f>"708-0036"</f>
        <v>708-0036</v>
      </c>
      <c r="D319" s="2" t="str">
        <f>"津山市南新座２３－１"</f>
        <v>津山市南新座２３－１</v>
      </c>
      <c r="E319" s="1">
        <v>46387</v>
      </c>
    </row>
    <row r="320" spans="1:5" ht="30" customHeight="1" x14ac:dyDescent="0.4">
      <c r="A320" s="3">
        <v>317</v>
      </c>
      <c r="B320" s="2" t="s">
        <v>389</v>
      </c>
      <c r="C320" s="2" t="str">
        <f>"708-0013"</f>
        <v>708-0013</v>
      </c>
      <c r="D320" s="2" t="str">
        <f>"津山市二宮５３－６"</f>
        <v>津山市二宮５３－６</v>
      </c>
      <c r="E320" s="1">
        <v>46387</v>
      </c>
    </row>
    <row r="321" spans="1:5" ht="30" customHeight="1" x14ac:dyDescent="0.4">
      <c r="A321" s="3">
        <v>318</v>
      </c>
      <c r="B321" s="2" t="s">
        <v>427</v>
      </c>
      <c r="C321" s="2" t="str">
        <f>"706-0011"</f>
        <v>706-0011</v>
      </c>
      <c r="D321" s="2" t="str">
        <f>"玉野市宇野２丁目３２－７"</f>
        <v>玉野市宇野２丁目３２－７</v>
      </c>
      <c r="E321" s="1">
        <v>46387</v>
      </c>
    </row>
    <row r="322" spans="1:5" ht="30" customHeight="1" x14ac:dyDescent="0.4">
      <c r="A322" s="3">
        <v>319</v>
      </c>
      <c r="B322" s="2" t="s">
        <v>423</v>
      </c>
      <c r="C322" s="2" t="str">
        <f>"706-0011"</f>
        <v>706-0011</v>
      </c>
      <c r="D322" s="2" t="s">
        <v>424</v>
      </c>
      <c r="E322" s="1">
        <v>46387</v>
      </c>
    </row>
    <row r="323" spans="1:5" ht="30" customHeight="1" x14ac:dyDescent="0.4">
      <c r="A323" s="3">
        <v>320</v>
      </c>
      <c r="B323" s="2" t="s">
        <v>32</v>
      </c>
      <c r="C323" s="2" t="str">
        <f>"706-0011"</f>
        <v>706-0011</v>
      </c>
      <c r="D323" s="2" t="s">
        <v>411</v>
      </c>
      <c r="E323" s="1">
        <v>46387</v>
      </c>
    </row>
    <row r="324" spans="1:5" ht="30" customHeight="1" x14ac:dyDescent="0.4">
      <c r="A324" s="3">
        <v>321</v>
      </c>
      <c r="B324" s="2" t="s">
        <v>418</v>
      </c>
      <c r="C324" s="2" t="str">
        <f>"706-0012"</f>
        <v>706-0012</v>
      </c>
      <c r="D324" s="2" t="s">
        <v>419</v>
      </c>
      <c r="E324" s="1">
        <v>46387</v>
      </c>
    </row>
    <row r="325" spans="1:5" ht="30" customHeight="1" x14ac:dyDescent="0.4">
      <c r="A325" s="3">
        <v>322</v>
      </c>
      <c r="B325" s="2" t="s">
        <v>433</v>
      </c>
      <c r="C325" s="2" t="str">
        <f>"706-0011"</f>
        <v>706-0011</v>
      </c>
      <c r="D325" s="2" t="str">
        <f>"玉野市宇野８丁目１９－３"</f>
        <v>玉野市宇野８丁目１９－３</v>
      </c>
      <c r="E325" s="1">
        <v>46387</v>
      </c>
    </row>
    <row r="326" spans="1:5" ht="30" customHeight="1" x14ac:dyDescent="0.4">
      <c r="A326" s="3">
        <v>323</v>
      </c>
      <c r="B326" s="2" t="s">
        <v>409</v>
      </c>
      <c r="C326" s="2" t="str">
        <f>"706-0001"</f>
        <v>706-0001</v>
      </c>
      <c r="D326" s="2" t="s">
        <v>410</v>
      </c>
      <c r="E326" s="1">
        <v>46387</v>
      </c>
    </row>
    <row r="327" spans="1:5" ht="30" customHeight="1" x14ac:dyDescent="0.4">
      <c r="A327" s="3">
        <v>324</v>
      </c>
      <c r="B327" s="2" t="s">
        <v>401</v>
      </c>
      <c r="C327" s="2" t="str">
        <f>"706-0134"</f>
        <v>706-0134</v>
      </c>
      <c r="D327" s="2" t="str">
        <f>"玉野市東高崎２６－２１"</f>
        <v>玉野市東高崎２６－２１</v>
      </c>
      <c r="E327" s="1">
        <v>46387</v>
      </c>
    </row>
    <row r="328" spans="1:5" ht="30" customHeight="1" x14ac:dyDescent="0.4">
      <c r="A328" s="3">
        <v>325</v>
      </c>
      <c r="B328" s="2" t="s">
        <v>815</v>
      </c>
      <c r="C328" s="2" t="str">
        <f>"706-0002"</f>
        <v>706-0002</v>
      </c>
      <c r="D328" s="2" t="s">
        <v>816</v>
      </c>
      <c r="E328" s="1">
        <v>46387</v>
      </c>
    </row>
    <row r="329" spans="1:5" ht="30" customHeight="1" x14ac:dyDescent="0.4">
      <c r="A329" s="3">
        <v>326</v>
      </c>
      <c r="B329" s="2" t="s">
        <v>420</v>
      </c>
      <c r="C329" s="2" t="str">
        <f>"706-0012"</f>
        <v>706-0012</v>
      </c>
      <c r="D329" s="2" t="str">
        <f>"玉野市玉６－８－６"</f>
        <v>玉野市玉６－８－６</v>
      </c>
      <c r="E329" s="1">
        <v>47848</v>
      </c>
    </row>
    <row r="330" spans="1:5" ht="30" customHeight="1" x14ac:dyDescent="0.4">
      <c r="A330" s="3">
        <v>327</v>
      </c>
      <c r="B330" s="2" t="s">
        <v>436</v>
      </c>
      <c r="C330" s="2" t="str">
        <f>"706-0011"</f>
        <v>706-0011</v>
      </c>
      <c r="D330" s="2" t="str">
        <f>"玉野市宇野１丁目４２－２６"</f>
        <v>玉野市宇野１丁目４２－２６</v>
      </c>
      <c r="E330" s="1">
        <v>46387</v>
      </c>
    </row>
    <row r="331" spans="1:5" ht="30" customHeight="1" x14ac:dyDescent="0.4">
      <c r="A331" s="3">
        <v>328</v>
      </c>
      <c r="B331" s="2" t="s">
        <v>402</v>
      </c>
      <c r="C331" s="2" t="str">
        <f>"706-0133"</f>
        <v>706-0133</v>
      </c>
      <c r="D331" s="2" t="str">
        <f>"玉野市宇藤木５５０－３５"</f>
        <v>玉野市宇藤木５５０－３５</v>
      </c>
      <c r="E331" s="1">
        <v>47483</v>
      </c>
    </row>
    <row r="332" spans="1:5" ht="30" customHeight="1" x14ac:dyDescent="0.4">
      <c r="A332" s="3">
        <v>329</v>
      </c>
      <c r="B332" s="2" t="s">
        <v>437</v>
      </c>
      <c r="C332" s="2" t="str">
        <f>"706-0222"</f>
        <v>706-0222</v>
      </c>
      <c r="D332" s="2" t="s">
        <v>438</v>
      </c>
      <c r="E332" s="1">
        <v>46387</v>
      </c>
    </row>
    <row r="333" spans="1:5" ht="30" customHeight="1" x14ac:dyDescent="0.4">
      <c r="A333" s="3">
        <v>330</v>
      </c>
      <c r="B333" s="2" t="s">
        <v>416</v>
      </c>
      <c r="C333" s="2" t="str">
        <f>"706-0312"</f>
        <v>706-0312</v>
      </c>
      <c r="D333" s="2" t="s">
        <v>417</v>
      </c>
      <c r="E333" s="1">
        <v>46387</v>
      </c>
    </row>
    <row r="334" spans="1:5" ht="30" customHeight="1" x14ac:dyDescent="0.4">
      <c r="A334" s="3">
        <v>331</v>
      </c>
      <c r="B334" s="2" t="s">
        <v>406</v>
      </c>
      <c r="C334" s="2" t="str">
        <f>"706-0142"</f>
        <v>706-0142</v>
      </c>
      <c r="D334" s="2" t="str">
        <f>"玉野市迫間2138-2"</f>
        <v>玉野市迫間2138-2</v>
      </c>
      <c r="E334" s="1">
        <v>46752</v>
      </c>
    </row>
    <row r="335" spans="1:5" ht="30" customHeight="1" x14ac:dyDescent="0.4">
      <c r="A335" s="3">
        <v>332</v>
      </c>
      <c r="B335" s="2" t="s">
        <v>421</v>
      </c>
      <c r="C335" s="2" t="str">
        <f>"706-0132"</f>
        <v>706-0132</v>
      </c>
      <c r="D335" s="2" t="s">
        <v>422</v>
      </c>
      <c r="E335" s="1">
        <v>46387</v>
      </c>
    </row>
    <row r="336" spans="1:5" ht="30" customHeight="1" x14ac:dyDescent="0.4">
      <c r="A336" s="3">
        <v>333</v>
      </c>
      <c r="B336" s="2" t="s">
        <v>439</v>
      </c>
      <c r="C336" s="2" t="str">
        <f>"706-0026"</f>
        <v>706-0026</v>
      </c>
      <c r="D336" s="2" t="str">
        <f>"玉野市羽根崎町５－１０"</f>
        <v>玉野市羽根崎町５－１０</v>
      </c>
      <c r="E336" s="1">
        <v>46387</v>
      </c>
    </row>
    <row r="337" spans="1:5" ht="30" customHeight="1" x14ac:dyDescent="0.4">
      <c r="A337" s="3">
        <v>334</v>
      </c>
      <c r="B337" s="2" t="s">
        <v>404</v>
      </c>
      <c r="C337" s="2" t="str">
        <f>"706-0142"</f>
        <v>706-0142</v>
      </c>
      <c r="D337" s="2" t="str">
        <f>"玉野市迫間２２８０－１１"</f>
        <v>玉野市迫間２２８０－１１</v>
      </c>
      <c r="E337" s="1">
        <v>46387</v>
      </c>
    </row>
    <row r="338" spans="1:5" ht="30" customHeight="1" x14ac:dyDescent="0.4">
      <c r="A338" s="3">
        <v>335</v>
      </c>
      <c r="B338" s="2" t="s">
        <v>403</v>
      </c>
      <c r="C338" s="2" t="str">
        <f>"706-0221"</f>
        <v>706-0221</v>
      </c>
      <c r="D338" s="2" t="str">
        <f>"玉野市八浜町八浜１４８４－１"</f>
        <v>玉野市八浜町八浜１４８４－１</v>
      </c>
      <c r="E338" s="1">
        <v>46387</v>
      </c>
    </row>
    <row r="339" spans="1:5" ht="30" customHeight="1" x14ac:dyDescent="0.4">
      <c r="A339" s="3">
        <v>336</v>
      </c>
      <c r="B339" s="2" t="s">
        <v>431</v>
      </c>
      <c r="C339" s="2" t="str">
        <f>"706-0002"</f>
        <v>706-0002</v>
      </c>
      <c r="D339" s="2" t="s">
        <v>432</v>
      </c>
      <c r="E339" s="1">
        <v>46387</v>
      </c>
    </row>
    <row r="340" spans="1:5" ht="30" customHeight="1" x14ac:dyDescent="0.4">
      <c r="A340" s="3">
        <v>337</v>
      </c>
      <c r="B340" s="2" t="s">
        <v>884</v>
      </c>
      <c r="C340" s="2" t="str">
        <f>"706-0011"</f>
        <v>706-0011</v>
      </c>
      <c r="D340" s="2" t="str">
        <f>"玉野市宇野２丁目１－２０"</f>
        <v>玉野市宇野２丁目１－２０</v>
      </c>
      <c r="E340" s="1">
        <v>47848</v>
      </c>
    </row>
    <row r="341" spans="1:5" ht="30" customHeight="1" x14ac:dyDescent="0.4">
      <c r="A341" s="3">
        <v>338</v>
      </c>
      <c r="B341" s="2" t="s">
        <v>971</v>
      </c>
      <c r="C341" s="2" t="str">
        <f>"706-0011"</f>
        <v>706-0011</v>
      </c>
      <c r="D341" s="2" t="str">
        <f>"玉野市宇野２丁目１－２０"</f>
        <v>玉野市宇野２丁目１－２０</v>
      </c>
      <c r="E341" s="1">
        <v>47848</v>
      </c>
    </row>
    <row r="342" spans="1:5" ht="30" customHeight="1" x14ac:dyDescent="0.4">
      <c r="A342" s="3">
        <v>339</v>
      </c>
      <c r="B342" s="2" t="s">
        <v>435</v>
      </c>
      <c r="C342" s="2" t="str">
        <f>"706-0012"</f>
        <v>706-0012</v>
      </c>
      <c r="D342" s="2" t="str">
        <f>"玉野市玉２－２５－１９"</f>
        <v>玉野市玉２－２５－１９</v>
      </c>
      <c r="E342" s="1">
        <v>46387</v>
      </c>
    </row>
    <row r="343" spans="1:5" ht="30" customHeight="1" x14ac:dyDescent="0.4">
      <c r="A343" s="3">
        <v>340</v>
      </c>
      <c r="B343" s="2" t="s">
        <v>924</v>
      </c>
      <c r="C343" s="2" t="str">
        <f>"706-0301"</f>
        <v>706-0301</v>
      </c>
      <c r="D343" s="2" t="str">
        <f>"玉野市北方５２８－２"</f>
        <v>玉野市北方５２８－２</v>
      </c>
      <c r="E343" s="1">
        <v>47118</v>
      </c>
    </row>
    <row r="344" spans="1:5" ht="30" customHeight="1" x14ac:dyDescent="0.4">
      <c r="A344" s="3">
        <v>341</v>
      </c>
      <c r="B344" s="2" t="s">
        <v>414</v>
      </c>
      <c r="C344" s="2" t="str">
        <f>"706-0305"</f>
        <v>706-0305</v>
      </c>
      <c r="D344" s="2" t="s">
        <v>415</v>
      </c>
      <c r="E344" s="1">
        <v>46387</v>
      </c>
    </row>
    <row r="345" spans="1:5" ht="30" customHeight="1" x14ac:dyDescent="0.4">
      <c r="A345" s="3">
        <v>342</v>
      </c>
      <c r="B345" s="2" t="s">
        <v>412</v>
      </c>
      <c r="C345" s="2" t="str">
        <f>"706-0001"</f>
        <v>706-0001</v>
      </c>
      <c r="D345" s="2" t="s">
        <v>413</v>
      </c>
      <c r="E345" s="1">
        <v>46387</v>
      </c>
    </row>
    <row r="346" spans="1:5" ht="30" customHeight="1" x14ac:dyDescent="0.4">
      <c r="A346" s="3">
        <v>343</v>
      </c>
      <c r="B346" s="2" t="s">
        <v>428</v>
      </c>
      <c r="C346" s="2" t="str">
        <f>"706-0001"</f>
        <v>706-0001</v>
      </c>
      <c r="D346" s="2" t="s">
        <v>429</v>
      </c>
      <c r="E346" s="1">
        <v>46387</v>
      </c>
    </row>
    <row r="347" spans="1:5" ht="30" customHeight="1" x14ac:dyDescent="0.4">
      <c r="A347" s="3">
        <v>344</v>
      </c>
      <c r="B347" s="2" t="s">
        <v>440</v>
      </c>
      <c r="C347" s="2" t="str">
        <f>"706-0134"</f>
        <v>706-0134</v>
      </c>
      <c r="D347" s="2" t="str">
        <f>"玉野市東高崎２４－８"</f>
        <v>玉野市東高崎２４－８</v>
      </c>
      <c r="E347" s="1">
        <v>47118</v>
      </c>
    </row>
    <row r="348" spans="1:5" ht="30" customHeight="1" x14ac:dyDescent="0.4">
      <c r="A348" s="3">
        <v>345</v>
      </c>
      <c r="B348" s="2" t="s">
        <v>405</v>
      </c>
      <c r="C348" s="2" t="str">
        <f>"706-0011"</f>
        <v>706-0011</v>
      </c>
      <c r="D348" s="2" t="str">
        <f>"玉野市宇野２丁目３７－１８"</f>
        <v>玉野市宇野２丁目３７－１８</v>
      </c>
      <c r="E348" s="1">
        <v>46387</v>
      </c>
    </row>
    <row r="349" spans="1:5" ht="30" customHeight="1" x14ac:dyDescent="0.4">
      <c r="A349" s="3">
        <v>346</v>
      </c>
      <c r="B349" s="2" t="s">
        <v>430</v>
      </c>
      <c r="C349" s="2" t="str">
        <f>"706-0132"</f>
        <v>706-0132</v>
      </c>
      <c r="D349" s="2" t="str">
        <f>"玉野市用吉１６８１－１"</f>
        <v>玉野市用吉１６８１－１</v>
      </c>
      <c r="E349" s="1">
        <v>46387</v>
      </c>
    </row>
    <row r="350" spans="1:5" ht="30" customHeight="1" x14ac:dyDescent="0.4">
      <c r="A350" s="3">
        <v>347</v>
      </c>
      <c r="B350" s="2" t="s">
        <v>425</v>
      </c>
      <c r="C350" s="2" t="str">
        <f>"706-0141"</f>
        <v>706-0141</v>
      </c>
      <c r="D350" s="2" t="s">
        <v>426</v>
      </c>
      <c r="E350" s="1">
        <v>46387</v>
      </c>
    </row>
    <row r="351" spans="1:5" ht="30" customHeight="1" x14ac:dyDescent="0.4">
      <c r="A351" s="3">
        <v>348</v>
      </c>
      <c r="B351" s="2" t="s">
        <v>10</v>
      </c>
      <c r="C351" s="2" t="str">
        <f>"706-0131"</f>
        <v>706-0131</v>
      </c>
      <c r="D351" s="2" t="str">
        <f>"玉野市東紅陽台１－１９－３２５"</f>
        <v>玉野市東紅陽台１－１９－３２５</v>
      </c>
      <c r="E351" s="1">
        <v>46387</v>
      </c>
    </row>
    <row r="352" spans="1:5" ht="30" customHeight="1" x14ac:dyDescent="0.4">
      <c r="A352" s="3">
        <v>349</v>
      </c>
      <c r="B352" s="2" t="s">
        <v>434</v>
      </c>
      <c r="C352" s="2" t="str">
        <f>"706-0011"</f>
        <v>706-0011</v>
      </c>
      <c r="D352" s="2" t="str">
        <f>"玉野市宇野１丁目１５－２８"</f>
        <v>玉野市宇野１丁目１５－２８</v>
      </c>
      <c r="E352" s="1">
        <v>46387</v>
      </c>
    </row>
    <row r="353" spans="1:5" ht="30" customHeight="1" x14ac:dyDescent="0.4">
      <c r="A353" s="3">
        <v>350</v>
      </c>
      <c r="B353" s="2" t="s">
        <v>407</v>
      </c>
      <c r="C353" s="2" t="str">
        <f>"706-0023"</f>
        <v>706-0023</v>
      </c>
      <c r="D353" s="2" t="s">
        <v>408</v>
      </c>
      <c r="E353" s="1">
        <v>46387</v>
      </c>
    </row>
    <row r="354" spans="1:5" ht="30" customHeight="1" x14ac:dyDescent="0.4">
      <c r="A354" s="3">
        <v>351</v>
      </c>
      <c r="B354" s="2" t="s">
        <v>446</v>
      </c>
      <c r="C354" s="2" t="str">
        <f>"714-0034"</f>
        <v>714-0034</v>
      </c>
      <c r="D354" s="2" t="s">
        <v>447</v>
      </c>
      <c r="E354" s="1">
        <v>46387</v>
      </c>
    </row>
    <row r="355" spans="1:5" ht="30" customHeight="1" x14ac:dyDescent="0.4">
      <c r="A355" s="3">
        <v>352</v>
      </c>
      <c r="B355" s="2" t="s">
        <v>927</v>
      </c>
      <c r="C355" s="2" t="str">
        <f>"714-0082"</f>
        <v>714-0082</v>
      </c>
      <c r="D355" s="2" t="str">
        <f>"笠岡市一番町３－１２"</f>
        <v>笠岡市一番町３－１２</v>
      </c>
      <c r="E355" s="1">
        <v>46387</v>
      </c>
    </row>
    <row r="356" spans="1:5" ht="30" customHeight="1" x14ac:dyDescent="0.4">
      <c r="A356" s="3">
        <v>353</v>
      </c>
      <c r="B356" s="2" t="s">
        <v>466</v>
      </c>
      <c r="C356" s="2" t="str">
        <f>"714-0098"</f>
        <v>714-0098</v>
      </c>
      <c r="D356" s="2" t="str">
        <f>"笠岡市十一番町１－７"</f>
        <v>笠岡市十一番町１－７</v>
      </c>
      <c r="E356" s="1">
        <v>46387</v>
      </c>
    </row>
    <row r="357" spans="1:5" ht="30" customHeight="1" x14ac:dyDescent="0.4">
      <c r="A357" s="3">
        <v>354</v>
      </c>
      <c r="B357" s="2" t="s">
        <v>470</v>
      </c>
      <c r="C357" s="2" t="str">
        <f>"714-0096"</f>
        <v>714-0096</v>
      </c>
      <c r="D357" s="2" t="str">
        <f>"笠岡市九番町２－２"</f>
        <v>笠岡市九番町２－２</v>
      </c>
      <c r="E357" s="1">
        <v>46387</v>
      </c>
    </row>
    <row r="358" spans="1:5" ht="30" customHeight="1" x14ac:dyDescent="0.4">
      <c r="A358" s="3">
        <v>355</v>
      </c>
      <c r="B358" s="2" t="s">
        <v>464</v>
      </c>
      <c r="C358" s="2" t="str">
        <f>"714-0092"</f>
        <v>714-0092</v>
      </c>
      <c r="D358" s="2" t="str">
        <f>"笠岡市富岡２６５－７"</f>
        <v>笠岡市富岡２６５－７</v>
      </c>
      <c r="E358" s="1">
        <v>47483</v>
      </c>
    </row>
    <row r="359" spans="1:5" ht="30" customHeight="1" x14ac:dyDescent="0.4">
      <c r="A359" s="3">
        <v>356</v>
      </c>
      <c r="B359" s="2" t="s">
        <v>1678</v>
      </c>
      <c r="C359" s="2" t="str">
        <f>"714-0081"</f>
        <v>714-0081</v>
      </c>
      <c r="D359" s="2" t="str">
        <f>"笠岡市笠岡５１０２－１５"</f>
        <v>笠岡市笠岡５１０２－１５</v>
      </c>
      <c r="E359" s="1">
        <v>47848</v>
      </c>
    </row>
    <row r="360" spans="1:5" ht="30" customHeight="1" x14ac:dyDescent="0.4">
      <c r="A360" s="3">
        <v>357</v>
      </c>
      <c r="B360" s="2" t="s">
        <v>824</v>
      </c>
      <c r="C360" s="2" t="str">
        <f>"714-0301"</f>
        <v>714-0301</v>
      </c>
      <c r="D360" s="2" t="str">
        <f>"笠岡市北木島町３８０２－５３"</f>
        <v>笠岡市北木島町３８０２－５３</v>
      </c>
      <c r="E360" s="1">
        <v>46387</v>
      </c>
    </row>
    <row r="361" spans="1:5" ht="30" customHeight="1" x14ac:dyDescent="0.4">
      <c r="A361" s="3">
        <v>358</v>
      </c>
      <c r="B361" s="2" t="s">
        <v>880</v>
      </c>
      <c r="C361" s="2" t="str">
        <f>"714-0036"</f>
        <v>714-0036</v>
      </c>
      <c r="D361" s="2" t="str">
        <f>"笠岡市白石島５７０－２"</f>
        <v>笠岡市白石島５７０－２</v>
      </c>
      <c r="E361" s="1">
        <v>46387</v>
      </c>
    </row>
    <row r="362" spans="1:5" ht="30" customHeight="1" x14ac:dyDescent="0.4">
      <c r="A362" s="3">
        <v>359</v>
      </c>
      <c r="B362" s="2" t="s">
        <v>826</v>
      </c>
      <c r="C362" s="2" t="str">
        <f>"714-0035"</f>
        <v>714-0035</v>
      </c>
      <c r="D362" s="2" t="str">
        <f>"笠岡市高島５０３９－１"</f>
        <v>笠岡市高島５０３９－１</v>
      </c>
      <c r="E362" s="1">
        <v>46387</v>
      </c>
    </row>
    <row r="363" spans="1:5" ht="30" customHeight="1" x14ac:dyDescent="0.4">
      <c r="A363" s="3">
        <v>360</v>
      </c>
      <c r="B363" s="2" t="s">
        <v>825</v>
      </c>
      <c r="C363" s="2" t="str">
        <f>"714-0302"</f>
        <v>714-0302</v>
      </c>
      <c r="D363" s="2" t="str">
        <f>"笠岡市飛島５９２０－２"</f>
        <v>笠岡市飛島５９２０－２</v>
      </c>
      <c r="E363" s="1">
        <v>46387</v>
      </c>
    </row>
    <row r="364" spans="1:5" ht="30" customHeight="1" x14ac:dyDescent="0.4">
      <c r="A364" s="3">
        <v>361</v>
      </c>
      <c r="B364" s="2" t="s">
        <v>821</v>
      </c>
      <c r="C364" s="2" t="str">
        <f>"714-0037"</f>
        <v>714-0037</v>
      </c>
      <c r="D364" s="2" t="s">
        <v>822</v>
      </c>
      <c r="E364" s="1">
        <v>46387</v>
      </c>
    </row>
    <row r="365" spans="1:5" ht="30" customHeight="1" x14ac:dyDescent="0.4">
      <c r="A365" s="3">
        <v>362</v>
      </c>
      <c r="B365" s="2" t="s">
        <v>823</v>
      </c>
      <c r="C365" s="2" t="str">
        <f>"714-0038"</f>
        <v>714-0038</v>
      </c>
      <c r="D365" s="2" t="str">
        <f>"笠岡市六島５８５８－５"</f>
        <v>笠岡市六島５８５８－５</v>
      </c>
      <c r="E365" s="1">
        <v>46387</v>
      </c>
    </row>
    <row r="366" spans="1:5" ht="30" customHeight="1" x14ac:dyDescent="0.4">
      <c r="A366" s="3">
        <v>363</v>
      </c>
      <c r="B366" s="2" t="s">
        <v>819</v>
      </c>
      <c r="C366" s="2" t="str">
        <f>"714-0081"</f>
        <v>714-0081</v>
      </c>
      <c r="D366" s="2" t="s">
        <v>820</v>
      </c>
      <c r="E366" s="1">
        <v>46387</v>
      </c>
    </row>
    <row r="367" spans="1:5" ht="30" customHeight="1" x14ac:dyDescent="0.4">
      <c r="A367" s="3">
        <v>364</v>
      </c>
      <c r="B367" s="2" t="s">
        <v>454</v>
      </c>
      <c r="C367" s="2" t="str">
        <f>"714-0043"</f>
        <v>714-0043</v>
      </c>
      <c r="D367" s="2" t="s">
        <v>455</v>
      </c>
      <c r="E367" s="1">
        <v>46387</v>
      </c>
    </row>
    <row r="368" spans="1:5" ht="30" customHeight="1" x14ac:dyDescent="0.4">
      <c r="A368" s="3">
        <v>365</v>
      </c>
      <c r="B368" s="2" t="s">
        <v>456</v>
      </c>
      <c r="C368" s="2" t="str">
        <f>"714-0081"</f>
        <v>714-0081</v>
      </c>
      <c r="D368" s="2" t="s">
        <v>457</v>
      </c>
      <c r="E368" s="1">
        <v>46387</v>
      </c>
    </row>
    <row r="369" spans="1:5" ht="30" customHeight="1" x14ac:dyDescent="0.4">
      <c r="A369" s="3">
        <v>366</v>
      </c>
      <c r="B369" s="2" t="s">
        <v>458</v>
      </c>
      <c r="C369" s="2" t="str">
        <f>"714-0071"</f>
        <v>714-0071</v>
      </c>
      <c r="D369" s="2" t="s">
        <v>459</v>
      </c>
      <c r="E369" s="1">
        <v>46387</v>
      </c>
    </row>
    <row r="370" spans="1:5" ht="30" customHeight="1" x14ac:dyDescent="0.4">
      <c r="A370" s="3">
        <v>367</v>
      </c>
      <c r="B370" s="2" t="s">
        <v>442</v>
      </c>
      <c r="C370" s="2" t="str">
        <f>"714-0031"</f>
        <v>714-0031</v>
      </c>
      <c r="D370" s="2" t="s">
        <v>443</v>
      </c>
      <c r="E370" s="1">
        <v>46387</v>
      </c>
    </row>
    <row r="371" spans="1:5" ht="30" customHeight="1" x14ac:dyDescent="0.4">
      <c r="A371" s="3">
        <v>368</v>
      </c>
      <c r="B371" s="2" t="s">
        <v>460</v>
      </c>
      <c r="C371" s="2" t="str">
        <f>"714-0086"</f>
        <v>714-0086</v>
      </c>
      <c r="D371" s="2" t="s">
        <v>461</v>
      </c>
      <c r="E371" s="1">
        <v>46387</v>
      </c>
    </row>
    <row r="372" spans="1:5" ht="30" customHeight="1" x14ac:dyDescent="0.4">
      <c r="A372" s="3">
        <v>369</v>
      </c>
      <c r="B372" s="2" t="s">
        <v>450</v>
      </c>
      <c r="C372" s="2" t="str">
        <f>"714-0081"</f>
        <v>714-0081</v>
      </c>
      <c r="D372" s="2" t="s">
        <v>451</v>
      </c>
      <c r="E372" s="1">
        <v>48213</v>
      </c>
    </row>
    <row r="373" spans="1:5" ht="30" customHeight="1" x14ac:dyDescent="0.4">
      <c r="A373" s="3">
        <v>370</v>
      </c>
      <c r="B373" s="2" t="s">
        <v>467</v>
      </c>
      <c r="C373" s="2" t="str">
        <f>"714-0081"</f>
        <v>714-0081</v>
      </c>
      <c r="D373" s="2" t="str">
        <f>"笠岡市笠岡２２６５－２"</f>
        <v>笠岡市笠岡２２６５－２</v>
      </c>
      <c r="E373" s="1">
        <v>47118</v>
      </c>
    </row>
    <row r="374" spans="1:5" ht="30" customHeight="1" x14ac:dyDescent="0.4">
      <c r="A374" s="3">
        <v>371</v>
      </c>
      <c r="B374" s="2" t="s">
        <v>463</v>
      </c>
      <c r="C374" s="2" t="str">
        <f>"714-0083"</f>
        <v>714-0083</v>
      </c>
      <c r="D374" s="2" t="str">
        <f>"笠岡市二番町７－９"</f>
        <v>笠岡市二番町７－９</v>
      </c>
      <c r="E374" s="1">
        <v>46387</v>
      </c>
    </row>
    <row r="375" spans="1:5" ht="30" customHeight="1" x14ac:dyDescent="0.4">
      <c r="A375" s="3">
        <v>372</v>
      </c>
      <c r="B375" s="2" t="s">
        <v>444</v>
      </c>
      <c r="C375" s="2" t="str">
        <f>"714-0057"</f>
        <v>714-0057</v>
      </c>
      <c r="D375" s="2" t="s">
        <v>445</v>
      </c>
      <c r="E375" s="1">
        <v>46387</v>
      </c>
    </row>
    <row r="376" spans="1:5" ht="30" customHeight="1" x14ac:dyDescent="0.4">
      <c r="A376" s="3">
        <v>373</v>
      </c>
      <c r="B376" s="2" t="s">
        <v>448</v>
      </c>
      <c r="C376" s="2" t="str">
        <f>"714-0301"</f>
        <v>714-0301</v>
      </c>
      <c r="D376" s="2" t="str">
        <f>"笠岡市北木島町９７６８－１４"</f>
        <v>笠岡市北木島町９７６８－１４</v>
      </c>
      <c r="E376" s="1">
        <v>46387</v>
      </c>
    </row>
    <row r="377" spans="1:5" ht="30" customHeight="1" x14ac:dyDescent="0.4">
      <c r="A377" s="3">
        <v>374</v>
      </c>
      <c r="B377" s="2" t="s">
        <v>468</v>
      </c>
      <c r="C377" s="2" t="str">
        <f>"714-0086"</f>
        <v>714-0086</v>
      </c>
      <c r="D377" s="2" t="s">
        <v>469</v>
      </c>
      <c r="E377" s="1">
        <v>46387</v>
      </c>
    </row>
    <row r="378" spans="1:5" ht="30" customHeight="1" x14ac:dyDescent="0.4">
      <c r="A378" s="3">
        <v>375</v>
      </c>
      <c r="B378" s="2" t="s">
        <v>471</v>
      </c>
      <c r="C378" s="2" t="str">
        <f>"714-0088"</f>
        <v>714-0088</v>
      </c>
      <c r="D378" s="2" t="str">
        <f>"笠岡市中央町３５－３"</f>
        <v>笠岡市中央町３５－３</v>
      </c>
      <c r="E378" s="1">
        <v>46387</v>
      </c>
    </row>
    <row r="379" spans="1:5" ht="30" customHeight="1" x14ac:dyDescent="0.4">
      <c r="A379" s="3">
        <v>376</v>
      </c>
      <c r="B379" s="2" t="s">
        <v>462</v>
      </c>
      <c r="C379" s="2" t="str">
        <f>"714-0011"</f>
        <v>714-0011</v>
      </c>
      <c r="D379" s="2" t="str">
        <f>"笠岡市吉田３７－２"</f>
        <v>笠岡市吉田３７－２</v>
      </c>
      <c r="E379" s="1">
        <v>46387</v>
      </c>
    </row>
    <row r="380" spans="1:5" ht="30" customHeight="1" x14ac:dyDescent="0.4">
      <c r="A380" s="3">
        <v>377</v>
      </c>
      <c r="B380" s="2" t="s">
        <v>449</v>
      </c>
      <c r="C380" s="2" t="str">
        <f>"714-0092"</f>
        <v>714-0092</v>
      </c>
      <c r="D380" s="2" t="str">
        <f>"笠岡市富岡２５６－８"</f>
        <v>笠岡市富岡２５６－８</v>
      </c>
      <c r="E380" s="1">
        <v>48213</v>
      </c>
    </row>
    <row r="381" spans="1:5" ht="30" customHeight="1" x14ac:dyDescent="0.4">
      <c r="A381" s="3">
        <v>378</v>
      </c>
      <c r="B381" s="2" t="s">
        <v>465</v>
      </c>
      <c r="C381" s="2" t="str">
        <f>"714-0013"</f>
        <v>714-0013</v>
      </c>
      <c r="D381" s="2" t="str">
        <f>"笠岡市大井南２８－４"</f>
        <v>笠岡市大井南２８－４</v>
      </c>
      <c r="E381" s="1">
        <v>46387</v>
      </c>
    </row>
    <row r="382" spans="1:5" ht="30" customHeight="1" x14ac:dyDescent="0.4">
      <c r="A382" s="3">
        <v>379</v>
      </c>
      <c r="B382" s="2" t="s">
        <v>452</v>
      </c>
      <c r="C382" s="2" t="str">
        <f>"714-0021"</f>
        <v>714-0021</v>
      </c>
      <c r="D382" s="2" t="s">
        <v>453</v>
      </c>
      <c r="E382" s="1">
        <v>46387</v>
      </c>
    </row>
    <row r="383" spans="1:5" ht="30" customHeight="1" x14ac:dyDescent="0.4">
      <c r="A383" s="3">
        <v>380</v>
      </c>
      <c r="B383" s="2" t="s">
        <v>925</v>
      </c>
      <c r="C383" s="2" t="str">
        <f>"714-0098"</f>
        <v>714-0098</v>
      </c>
      <c r="D383" s="2" t="s">
        <v>926</v>
      </c>
      <c r="E383" s="1">
        <v>47483</v>
      </c>
    </row>
    <row r="384" spans="1:5" ht="30" customHeight="1" x14ac:dyDescent="0.4">
      <c r="A384" s="3">
        <v>381</v>
      </c>
      <c r="B384" s="2" t="s">
        <v>928</v>
      </c>
      <c r="C384" s="2" t="str">
        <f>"714-0011"</f>
        <v>714-0011</v>
      </c>
      <c r="D384" s="2" t="str">
        <f>"笠岡市吉田２２８７－３"</f>
        <v>笠岡市吉田２２８７－３</v>
      </c>
      <c r="E384" s="1">
        <v>46387</v>
      </c>
    </row>
    <row r="385" spans="1:5" ht="30" customHeight="1" x14ac:dyDescent="0.4">
      <c r="A385" s="3">
        <v>382</v>
      </c>
      <c r="B385" s="2" t="s">
        <v>441</v>
      </c>
      <c r="C385" s="2" t="str">
        <f>"714-0088"</f>
        <v>714-0088</v>
      </c>
      <c r="D385" s="2" t="str">
        <f>"笠岡市中央町２－８"</f>
        <v>笠岡市中央町２－８</v>
      </c>
      <c r="E385" s="1">
        <v>46387</v>
      </c>
    </row>
    <row r="386" spans="1:5" ht="30" customHeight="1" x14ac:dyDescent="0.4">
      <c r="A386" s="3">
        <v>383</v>
      </c>
      <c r="B386" s="2" t="s">
        <v>474</v>
      </c>
      <c r="C386" s="2" t="str">
        <f>"715-0024"</f>
        <v>715-0024</v>
      </c>
      <c r="D386" s="2" t="s">
        <v>475</v>
      </c>
      <c r="E386" s="1">
        <v>46387</v>
      </c>
    </row>
    <row r="387" spans="1:5" ht="30" customHeight="1" x14ac:dyDescent="0.4">
      <c r="A387" s="3">
        <v>384</v>
      </c>
      <c r="B387" s="2" t="s">
        <v>732</v>
      </c>
      <c r="C387" s="2" t="str">
        <f>"714-2341"</f>
        <v>714-2341</v>
      </c>
      <c r="D387" s="2" t="str">
        <f>"井原市芳井町東三原１０６１－１"</f>
        <v>井原市芳井町東三原１０６１－１</v>
      </c>
      <c r="E387" s="1">
        <v>46387</v>
      </c>
    </row>
    <row r="388" spans="1:5" ht="30" customHeight="1" x14ac:dyDescent="0.4">
      <c r="A388" s="3">
        <v>385</v>
      </c>
      <c r="B388" s="2" t="s">
        <v>733</v>
      </c>
      <c r="C388" s="2" t="str">
        <f>"714-2231"</f>
        <v>714-2231</v>
      </c>
      <c r="D388" s="2" t="str">
        <f>"井原市芳井町下鴫２５４３－１"</f>
        <v>井原市芳井町下鴫２５４３－１</v>
      </c>
      <c r="E388" s="1">
        <v>46387</v>
      </c>
    </row>
    <row r="389" spans="1:5" ht="30" customHeight="1" x14ac:dyDescent="0.4">
      <c r="A389" s="3">
        <v>386</v>
      </c>
      <c r="B389" s="2" t="s">
        <v>936</v>
      </c>
      <c r="C389" s="2" t="str">
        <f>"715-0006"</f>
        <v>715-0006</v>
      </c>
      <c r="D389" s="2" t="str">
        <f>"井原市西江原町９７９－１"</f>
        <v>井原市西江原町９７９－１</v>
      </c>
      <c r="E389" s="1">
        <v>46387</v>
      </c>
    </row>
    <row r="390" spans="1:5" ht="30" customHeight="1" x14ac:dyDescent="0.4">
      <c r="A390" s="3">
        <v>387</v>
      </c>
      <c r="B390" s="2" t="s">
        <v>932</v>
      </c>
      <c r="C390" s="2" t="str">
        <f>"715-0022"</f>
        <v>715-0022</v>
      </c>
      <c r="D390" s="2" t="str">
        <f>"井原市下出部町１－２－８"</f>
        <v>井原市下出部町１－２－８</v>
      </c>
      <c r="E390" s="1">
        <v>46387</v>
      </c>
    </row>
    <row r="391" spans="1:5" ht="30" customHeight="1" x14ac:dyDescent="0.4">
      <c r="A391" s="3">
        <v>388</v>
      </c>
      <c r="B391" s="2" t="s">
        <v>827</v>
      </c>
      <c r="C391" s="2" t="str">
        <f>"715-0019"</f>
        <v>715-0019</v>
      </c>
      <c r="D391" s="2" t="s">
        <v>828</v>
      </c>
      <c r="E391" s="1">
        <v>46387</v>
      </c>
    </row>
    <row r="392" spans="1:5" ht="30" customHeight="1" x14ac:dyDescent="0.4">
      <c r="A392" s="3">
        <v>389</v>
      </c>
      <c r="B392" s="2" t="s">
        <v>829</v>
      </c>
      <c r="C392" s="2" t="str">
        <f>"714-1411"</f>
        <v>714-1411</v>
      </c>
      <c r="D392" s="2" t="s">
        <v>830</v>
      </c>
      <c r="E392" s="1">
        <v>46387</v>
      </c>
    </row>
    <row r="393" spans="1:5" ht="30" customHeight="1" x14ac:dyDescent="0.4">
      <c r="A393" s="3">
        <v>390</v>
      </c>
      <c r="B393" s="2" t="s">
        <v>476</v>
      </c>
      <c r="C393" s="2" t="str">
        <f>"715-0021"</f>
        <v>715-0021</v>
      </c>
      <c r="D393" s="2" t="s">
        <v>477</v>
      </c>
      <c r="E393" s="1">
        <v>46387</v>
      </c>
    </row>
    <row r="394" spans="1:5" ht="30" customHeight="1" x14ac:dyDescent="0.4">
      <c r="A394" s="3">
        <v>391</v>
      </c>
      <c r="B394" s="2" t="s">
        <v>482</v>
      </c>
      <c r="C394" s="2" t="str">
        <f>"715-0024"</f>
        <v>715-0024</v>
      </c>
      <c r="D394" s="2" t="s">
        <v>483</v>
      </c>
      <c r="E394" s="1">
        <v>46387</v>
      </c>
    </row>
    <row r="395" spans="1:5" ht="30" customHeight="1" x14ac:dyDescent="0.4">
      <c r="A395" s="3">
        <v>392</v>
      </c>
      <c r="B395" s="2" t="s">
        <v>484</v>
      </c>
      <c r="C395" s="2" t="str">
        <f>"715-0019"</f>
        <v>715-0019</v>
      </c>
      <c r="D395" s="2" t="str">
        <f>"井原市井原町１２２８－２"</f>
        <v>井原市井原町１２２８－２</v>
      </c>
      <c r="E395" s="1">
        <v>46387</v>
      </c>
    </row>
    <row r="396" spans="1:5" ht="30" customHeight="1" x14ac:dyDescent="0.4">
      <c r="A396" s="3">
        <v>393</v>
      </c>
      <c r="B396" s="2" t="s">
        <v>485</v>
      </c>
      <c r="C396" s="2" t="str">
        <f>"715-0019"</f>
        <v>715-0019</v>
      </c>
      <c r="D396" s="2" t="s">
        <v>486</v>
      </c>
      <c r="E396" s="1">
        <v>46387</v>
      </c>
    </row>
    <row r="397" spans="1:5" ht="30" customHeight="1" x14ac:dyDescent="0.4">
      <c r="A397" s="3">
        <v>394</v>
      </c>
      <c r="B397" s="2" t="s">
        <v>731</v>
      </c>
      <c r="C397" s="2" t="str">
        <f>"714-2111"</f>
        <v>714-2111</v>
      </c>
      <c r="D397" s="2" t="str">
        <f>"井原市芳井町吉井８９－１"</f>
        <v>井原市芳井町吉井８９－１</v>
      </c>
      <c r="E397" s="1">
        <v>46387</v>
      </c>
    </row>
    <row r="398" spans="1:5" ht="30" customHeight="1" x14ac:dyDescent="0.4">
      <c r="A398" s="3">
        <v>395</v>
      </c>
      <c r="B398" s="2" t="s">
        <v>890</v>
      </c>
      <c r="C398" s="2" t="str">
        <f>"715-0015"</f>
        <v>715-0015</v>
      </c>
      <c r="D398" s="2" t="str">
        <f>"井原市西方町１４４４－１"</f>
        <v>井原市西方町１４４４－１</v>
      </c>
      <c r="E398" s="1">
        <v>46387</v>
      </c>
    </row>
    <row r="399" spans="1:5" ht="30" customHeight="1" x14ac:dyDescent="0.4">
      <c r="A399" s="3">
        <v>396</v>
      </c>
      <c r="B399" s="2" t="s">
        <v>480</v>
      </c>
      <c r="C399" s="2" t="str">
        <f>"715-0015"</f>
        <v>715-0015</v>
      </c>
      <c r="D399" s="2" t="str">
        <f>"井原市西方町１４２５－１"</f>
        <v>井原市西方町１４２５－１</v>
      </c>
      <c r="E399" s="1">
        <v>46387</v>
      </c>
    </row>
    <row r="400" spans="1:5" ht="30" customHeight="1" x14ac:dyDescent="0.4">
      <c r="A400" s="3">
        <v>397</v>
      </c>
      <c r="B400" s="2" t="s">
        <v>935</v>
      </c>
      <c r="C400" s="2" t="str">
        <f>"715-0024"</f>
        <v>715-0024</v>
      </c>
      <c r="D400" s="2" t="str">
        <f>"井原市高屋町１－２４－１１"</f>
        <v>井原市高屋町１－２４－１１</v>
      </c>
      <c r="E400" s="1">
        <v>46752</v>
      </c>
    </row>
    <row r="401" spans="1:5" ht="30" customHeight="1" x14ac:dyDescent="0.4">
      <c r="A401" s="3">
        <v>398</v>
      </c>
      <c r="B401" s="2" t="s">
        <v>478</v>
      </c>
      <c r="C401" s="2" t="str">
        <f>"715-0019"</f>
        <v>715-0019</v>
      </c>
      <c r="D401" s="2" t="s">
        <v>479</v>
      </c>
      <c r="E401" s="1">
        <v>46387</v>
      </c>
    </row>
    <row r="402" spans="1:5" ht="30" customHeight="1" x14ac:dyDescent="0.4">
      <c r="A402" s="3">
        <v>399</v>
      </c>
      <c r="B402" s="2" t="s">
        <v>492</v>
      </c>
      <c r="C402" s="2" t="str">
        <f>"715-0024"</f>
        <v>715-0024</v>
      </c>
      <c r="D402" s="2" t="str">
        <f>"井原市高屋町３丁目２４－１０"</f>
        <v>井原市高屋町３丁目２４－１０</v>
      </c>
      <c r="E402" s="1">
        <v>46387</v>
      </c>
    </row>
    <row r="403" spans="1:5" ht="30" customHeight="1" x14ac:dyDescent="0.4">
      <c r="A403" s="3">
        <v>400</v>
      </c>
      <c r="B403" s="2" t="s">
        <v>930</v>
      </c>
      <c r="C403" s="2" t="str">
        <f>"715-0024"</f>
        <v>715-0024</v>
      </c>
      <c r="D403" s="2" t="str">
        <f>"井原市高屋町１０－１"</f>
        <v>井原市高屋町１０－１</v>
      </c>
      <c r="E403" s="1">
        <v>46387</v>
      </c>
    </row>
    <row r="404" spans="1:5" ht="30" customHeight="1" x14ac:dyDescent="0.4">
      <c r="A404" s="3">
        <v>401</v>
      </c>
      <c r="B404" s="2" t="s">
        <v>481</v>
      </c>
      <c r="C404" s="2" t="str">
        <f>"715-0006"</f>
        <v>715-0006</v>
      </c>
      <c r="D404" s="2" t="str">
        <f>"井原市西江原町８６７－１"</f>
        <v>井原市西江原町８６７－１</v>
      </c>
      <c r="E404" s="1">
        <v>46387</v>
      </c>
    </row>
    <row r="405" spans="1:5" ht="30" customHeight="1" x14ac:dyDescent="0.4">
      <c r="A405" s="3">
        <v>402</v>
      </c>
      <c r="B405" s="2" t="s">
        <v>934</v>
      </c>
      <c r="C405" s="2" t="str">
        <f>"715-0019"</f>
        <v>715-0019</v>
      </c>
      <c r="D405" s="2" t="str">
        <f>"井原市井原町５７３－１"</f>
        <v>井原市井原町５７３－１</v>
      </c>
      <c r="E405" s="1">
        <v>46387</v>
      </c>
    </row>
    <row r="406" spans="1:5" ht="30" customHeight="1" x14ac:dyDescent="0.4">
      <c r="A406" s="3">
        <v>403</v>
      </c>
      <c r="B406" s="2" t="s">
        <v>491</v>
      </c>
      <c r="C406" s="2" t="str">
        <f>"715-0006"</f>
        <v>715-0006</v>
      </c>
      <c r="D406" s="2" t="str">
        <f>"井原市西江原町８５１－１"</f>
        <v>井原市西江原町８５１－１</v>
      </c>
      <c r="E406" s="1">
        <v>47483</v>
      </c>
    </row>
    <row r="407" spans="1:5" ht="30" customHeight="1" x14ac:dyDescent="0.4">
      <c r="A407" s="3">
        <v>404</v>
      </c>
      <c r="B407" s="2" t="s">
        <v>472</v>
      </c>
      <c r="C407" s="2" t="str">
        <f>"715-0014"</f>
        <v>715-0014</v>
      </c>
      <c r="D407" s="2" t="s">
        <v>473</v>
      </c>
      <c r="E407" s="1">
        <v>46387</v>
      </c>
    </row>
    <row r="408" spans="1:5" ht="30" customHeight="1" x14ac:dyDescent="0.4">
      <c r="A408" s="3">
        <v>405</v>
      </c>
      <c r="B408" s="2" t="s">
        <v>489</v>
      </c>
      <c r="C408" s="2" t="str">
        <f>"715-0014"</f>
        <v>715-0014</v>
      </c>
      <c r="D408" s="2" t="s">
        <v>490</v>
      </c>
      <c r="E408" s="1">
        <v>46387</v>
      </c>
    </row>
    <row r="409" spans="1:5" ht="30" customHeight="1" x14ac:dyDescent="0.4">
      <c r="A409" s="3">
        <v>406</v>
      </c>
      <c r="B409" s="2" t="s">
        <v>493</v>
      </c>
      <c r="C409" s="2" t="str">
        <f>"715-0006"</f>
        <v>715-0006</v>
      </c>
      <c r="D409" s="2" t="str">
        <f>"井原市西江原町６６６－１"</f>
        <v>井原市西江原町６６６－１</v>
      </c>
      <c r="E409" s="1">
        <v>46387</v>
      </c>
    </row>
    <row r="410" spans="1:5" ht="30" customHeight="1" x14ac:dyDescent="0.4">
      <c r="A410" s="3">
        <v>407</v>
      </c>
      <c r="B410" s="2" t="s">
        <v>5</v>
      </c>
      <c r="C410" s="2" t="str">
        <f>"714-1415"</f>
        <v>714-1415</v>
      </c>
      <c r="D410" s="2" t="str">
        <f>"井原市美星町星田５１９１－１"</f>
        <v>井原市美星町星田５１９１－１</v>
      </c>
      <c r="E410" s="1">
        <v>46387</v>
      </c>
    </row>
    <row r="411" spans="1:5" ht="30" customHeight="1" x14ac:dyDescent="0.4">
      <c r="A411" s="3">
        <v>408</v>
      </c>
      <c r="B411" s="2" t="s">
        <v>931</v>
      </c>
      <c r="C411" s="2" t="str">
        <f>"715-0019"</f>
        <v>715-0019</v>
      </c>
      <c r="D411" s="2" t="str">
        <f>"井原市井原町１３９９－１"</f>
        <v>井原市井原町１３９９－１</v>
      </c>
      <c r="E411" s="1">
        <v>46387</v>
      </c>
    </row>
    <row r="412" spans="1:5" ht="30" customHeight="1" x14ac:dyDescent="0.4">
      <c r="A412" s="3">
        <v>409</v>
      </c>
      <c r="B412" s="2" t="s">
        <v>487</v>
      </c>
      <c r="C412" s="2" t="str">
        <f>"715-0021"</f>
        <v>715-0021</v>
      </c>
      <c r="D412" s="2" t="s">
        <v>488</v>
      </c>
      <c r="E412" s="1">
        <v>46387</v>
      </c>
    </row>
    <row r="413" spans="1:5" ht="30" customHeight="1" x14ac:dyDescent="0.4">
      <c r="A413" s="3">
        <v>410</v>
      </c>
      <c r="B413" s="2" t="s">
        <v>929</v>
      </c>
      <c r="C413" s="2" t="str">
        <f>"715-0019"</f>
        <v>715-0019</v>
      </c>
      <c r="D413" s="2" t="str">
        <f>"井原市井原町１４０６－１"</f>
        <v>井原市井原町１４０６－１</v>
      </c>
      <c r="E413" s="1">
        <v>46387</v>
      </c>
    </row>
    <row r="414" spans="1:5" ht="30" customHeight="1" x14ac:dyDescent="0.4">
      <c r="A414" s="3">
        <v>411</v>
      </c>
      <c r="B414" s="2" t="s">
        <v>730</v>
      </c>
      <c r="C414" s="2" t="str">
        <f>"714-2102"</f>
        <v>714-2102</v>
      </c>
      <c r="D414" s="2" t="str">
        <f>"井原市芳井町与井４４－７"</f>
        <v>井原市芳井町与井４４－７</v>
      </c>
      <c r="E414" s="1">
        <v>46387</v>
      </c>
    </row>
    <row r="415" spans="1:5" ht="30" customHeight="1" x14ac:dyDescent="0.4">
      <c r="A415" s="3">
        <v>412</v>
      </c>
      <c r="B415" s="2" t="s">
        <v>933</v>
      </c>
      <c r="C415" s="2" t="str">
        <f>"715-0021"</f>
        <v>715-0021</v>
      </c>
      <c r="D415" s="2" t="str">
        <f>"井原市上出部町４２０－１"</f>
        <v>井原市上出部町４２０－１</v>
      </c>
      <c r="E415" s="1">
        <v>46387</v>
      </c>
    </row>
    <row r="416" spans="1:5" ht="30" customHeight="1" x14ac:dyDescent="0.4">
      <c r="A416" s="3">
        <v>413</v>
      </c>
      <c r="B416" s="2" t="s">
        <v>534</v>
      </c>
      <c r="C416" s="2" t="str">
        <f>"719-1131"</f>
        <v>719-1131</v>
      </c>
      <c r="D416" s="2" t="str">
        <f>"総社市中央２丁目３－５"</f>
        <v>総社市中央２丁目３－５</v>
      </c>
      <c r="E416" s="1">
        <v>46387</v>
      </c>
    </row>
    <row r="417" spans="1:5" ht="30" customHeight="1" x14ac:dyDescent="0.4">
      <c r="A417" s="3">
        <v>414</v>
      </c>
      <c r="B417" s="2" t="s">
        <v>508</v>
      </c>
      <c r="C417" s="2" t="str">
        <f>"719-1155"</f>
        <v>719-1155</v>
      </c>
      <c r="D417" s="2" t="str">
        <f>"総社市小寺９９５－１"</f>
        <v>総社市小寺９９５－１</v>
      </c>
      <c r="E417" s="1">
        <v>46387</v>
      </c>
    </row>
    <row r="418" spans="1:5" ht="30" customHeight="1" x14ac:dyDescent="0.4">
      <c r="A418" s="3">
        <v>415</v>
      </c>
      <c r="B418" s="2" t="s">
        <v>685</v>
      </c>
      <c r="C418" s="2" t="str">
        <f>"719-1162"</f>
        <v>719-1162</v>
      </c>
      <c r="D418" s="2" t="s">
        <v>686</v>
      </c>
      <c r="E418" s="1">
        <v>46387</v>
      </c>
    </row>
    <row r="419" spans="1:5" ht="30" customHeight="1" x14ac:dyDescent="0.4">
      <c r="A419" s="3">
        <v>416</v>
      </c>
      <c r="B419" s="2" t="s">
        <v>497</v>
      </c>
      <c r="C419" s="2" t="str">
        <f>"719-1162"</f>
        <v>719-1162</v>
      </c>
      <c r="D419" s="2" t="s">
        <v>538</v>
      </c>
      <c r="E419" s="1">
        <v>46752</v>
      </c>
    </row>
    <row r="420" spans="1:5" ht="30" customHeight="1" x14ac:dyDescent="0.4">
      <c r="A420" s="3">
        <v>417</v>
      </c>
      <c r="B420" s="2" t="s">
        <v>495</v>
      </c>
      <c r="C420" s="2" t="str">
        <f>"719-1131"</f>
        <v>719-1131</v>
      </c>
      <c r="D420" s="2" t="str">
        <f>"総社市中央２丁目６－３６"</f>
        <v>総社市中央２丁目６－３６</v>
      </c>
      <c r="E420" s="1">
        <v>46387</v>
      </c>
    </row>
    <row r="421" spans="1:5" ht="30" customHeight="1" x14ac:dyDescent="0.4">
      <c r="A421" s="3">
        <v>418</v>
      </c>
      <c r="B421" s="2" t="s">
        <v>527</v>
      </c>
      <c r="C421" s="2" t="str">
        <f>"719-1171"</f>
        <v>719-1171</v>
      </c>
      <c r="D421" s="2" t="str">
        <f>"総社市清音三因６０６－１"</f>
        <v>総社市清音三因６０６－１</v>
      </c>
      <c r="E421" s="1">
        <v>46387</v>
      </c>
    </row>
    <row r="422" spans="1:5" ht="30" customHeight="1" x14ac:dyDescent="0.4">
      <c r="A422" s="3">
        <v>419</v>
      </c>
      <c r="B422" s="2" t="s">
        <v>509</v>
      </c>
      <c r="C422" s="2" t="str">
        <f>"719-1134"</f>
        <v>719-1134</v>
      </c>
      <c r="D422" s="2" t="s">
        <v>510</v>
      </c>
      <c r="E422" s="1">
        <v>46387</v>
      </c>
    </row>
    <row r="423" spans="1:5" ht="30" customHeight="1" x14ac:dyDescent="0.4">
      <c r="A423" s="3">
        <v>420</v>
      </c>
      <c r="B423" s="2" t="s">
        <v>7</v>
      </c>
      <c r="C423" s="2" t="str">
        <f>"719-1175"</f>
        <v>719-1175</v>
      </c>
      <c r="D423" s="2" t="str">
        <f>"総社市清音上中島１６６－６"</f>
        <v>総社市清音上中島１６６－６</v>
      </c>
      <c r="E423" s="1">
        <v>46387</v>
      </c>
    </row>
    <row r="424" spans="1:5" ht="30" customHeight="1" x14ac:dyDescent="0.4">
      <c r="A424" s="3">
        <v>421</v>
      </c>
      <c r="B424" s="2" t="s">
        <v>536</v>
      </c>
      <c r="C424" s="2" t="str">
        <f>"719-1114"</f>
        <v>719-1114</v>
      </c>
      <c r="D424" s="2" t="s">
        <v>537</v>
      </c>
      <c r="E424" s="1">
        <v>46387</v>
      </c>
    </row>
    <row r="425" spans="1:5" ht="30" customHeight="1" x14ac:dyDescent="0.4">
      <c r="A425" s="3">
        <v>422</v>
      </c>
      <c r="B425" s="2" t="s">
        <v>529</v>
      </c>
      <c r="C425" s="2" t="str">
        <f>"719-1156"</f>
        <v>719-1156</v>
      </c>
      <c r="D425" s="2" t="s">
        <v>530</v>
      </c>
      <c r="E425" s="1">
        <v>46387</v>
      </c>
    </row>
    <row r="426" spans="1:5" ht="30" customHeight="1" x14ac:dyDescent="0.4">
      <c r="A426" s="3">
        <v>423</v>
      </c>
      <c r="B426" s="2" t="s">
        <v>523</v>
      </c>
      <c r="C426" s="2" t="str">
        <f>"719-1124"</f>
        <v>719-1124</v>
      </c>
      <c r="D426" s="2" t="s">
        <v>524</v>
      </c>
      <c r="E426" s="1">
        <v>46387</v>
      </c>
    </row>
    <row r="427" spans="1:5" ht="30" customHeight="1" x14ac:dyDescent="0.4">
      <c r="A427" s="3">
        <v>424</v>
      </c>
      <c r="B427" s="2" t="s">
        <v>518</v>
      </c>
      <c r="C427" s="2" t="str">
        <f>"719-1134"</f>
        <v>719-1134</v>
      </c>
      <c r="D427" s="2" t="s">
        <v>519</v>
      </c>
      <c r="E427" s="1">
        <v>46387</v>
      </c>
    </row>
    <row r="428" spans="1:5" ht="30" customHeight="1" x14ac:dyDescent="0.4">
      <c r="A428" s="3">
        <v>425</v>
      </c>
      <c r="B428" s="2" t="s">
        <v>501</v>
      </c>
      <c r="C428" s="2" t="str">
        <f>"719-1136"</f>
        <v>719-1136</v>
      </c>
      <c r="D428" s="2" t="str">
        <f>"総社市駅前２丁目１８－２１"</f>
        <v>総社市駅前２丁目１８－２１</v>
      </c>
      <c r="E428" s="1">
        <v>46387</v>
      </c>
    </row>
    <row r="429" spans="1:5" ht="30" customHeight="1" x14ac:dyDescent="0.4">
      <c r="A429" s="3">
        <v>426</v>
      </c>
      <c r="B429" s="2" t="s">
        <v>502</v>
      </c>
      <c r="C429" s="2" t="str">
        <f>"719-1131"</f>
        <v>719-1131</v>
      </c>
      <c r="D429" s="2" t="s">
        <v>503</v>
      </c>
      <c r="E429" s="1">
        <v>46387</v>
      </c>
    </row>
    <row r="430" spans="1:5" ht="30" customHeight="1" x14ac:dyDescent="0.4">
      <c r="A430" s="3">
        <v>427</v>
      </c>
      <c r="B430" s="2" t="s">
        <v>528</v>
      </c>
      <c r="C430" s="2" t="str">
        <f>"719-1126"</f>
        <v>719-1126</v>
      </c>
      <c r="D430" s="2" t="str">
        <f>"総社市総社２－２０－１０"</f>
        <v>総社市総社２－２０－１０</v>
      </c>
      <c r="E430" s="1">
        <v>46752</v>
      </c>
    </row>
    <row r="431" spans="1:5" ht="30" customHeight="1" x14ac:dyDescent="0.4">
      <c r="A431" s="3">
        <v>428</v>
      </c>
      <c r="B431" s="2" t="s">
        <v>531</v>
      </c>
      <c r="C431" s="2" t="str">
        <f>"719-1162"</f>
        <v>719-1162</v>
      </c>
      <c r="D431" s="2" t="str">
        <f>"総社市岡谷１２１－６"</f>
        <v>総社市岡谷１２１－６</v>
      </c>
      <c r="E431" s="1">
        <v>47848</v>
      </c>
    </row>
    <row r="432" spans="1:5" ht="30" customHeight="1" x14ac:dyDescent="0.4">
      <c r="A432" s="3">
        <v>429</v>
      </c>
      <c r="B432" s="2" t="s">
        <v>535</v>
      </c>
      <c r="C432" s="2" t="str">
        <f>"719-1131"</f>
        <v>719-1131</v>
      </c>
      <c r="D432" s="2" t="str">
        <f>"総社市中央３丁目１０－１０５"</f>
        <v>総社市中央３丁目１０－１０５</v>
      </c>
      <c r="E432" s="1">
        <v>47483</v>
      </c>
    </row>
    <row r="433" spans="1:5" ht="30" customHeight="1" x14ac:dyDescent="0.4">
      <c r="A433" s="3">
        <v>430</v>
      </c>
      <c r="B433" s="2" t="s">
        <v>504</v>
      </c>
      <c r="C433" s="2" t="str">
        <f>"719-1125"</f>
        <v>719-1125</v>
      </c>
      <c r="D433" s="2" t="str">
        <f>"総社市井手１２０８－２"</f>
        <v>総社市井手１２０８－２</v>
      </c>
      <c r="E433" s="1">
        <v>46387</v>
      </c>
    </row>
    <row r="434" spans="1:5" ht="30" customHeight="1" x14ac:dyDescent="0.4">
      <c r="A434" s="3">
        <v>431</v>
      </c>
      <c r="B434" s="2" t="s">
        <v>521</v>
      </c>
      <c r="C434" s="2" t="str">
        <f>"719-1311"</f>
        <v>719-1311</v>
      </c>
      <c r="D434" s="2" t="str">
        <f>"総社市美袋１７９２－１"</f>
        <v>総社市美袋１７９２－１</v>
      </c>
      <c r="E434" s="1">
        <v>46387</v>
      </c>
    </row>
    <row r="435" spans="1:5" ht="30" customHeight="1" x14ac:dyDescent="0.4">
      <c r="A435" s="3">
        <v>432</v>
      </c>
      <c r="B435" s="2" t="s">
        <v>505</v>
      </c>
      <c r="C435" s="2" t="str">
        <f>"719-1144"</f>
        <v>719-1144</v>
      </c>
      <c r="D435" s="2" t="str">
        <f>"総社市富原３４４－１"</f>
        <v>総社市富原３４４－１</v>
      </c>
      <c r="E435" s="1">
        <v>46387</v>
      </c>
    </row>
    <row r="436" spans="1:5" ht="30" customHeight="1" x14ac:dyDescent="0.4">
      <c r="A436" s="3">
        <v>433</v>
      </c>
      <c r="B436" s="2" t="s">
        <v>938</v>
      </c>
      <c r="C436" s="2" t="str">
        <f>"719-1113"</f>
        <v>719-1113</v>
      </c>
      <c r="D436" s="2" t="str">
        <f>"総社市南溝手４０９－１"</f>
        <v>総社市南溝手４０９－１</v>
      </c>
      <c r="E436" s="1">
        <v>47118</v>
      </c>
    </row>
    <row r="437" spans="1:5" ht="30" customHeight="1" x14ac:dyDescent="0.4">
      <c r="A437" s="3">
        <v>434</v>
      </c>
      <c r="B437" s="2" t="s">
        <v>539</v>
      </c>
      <c r="C437" s="2" t="str">
        <f>"719-1114"</f>
        <v>719-1114</v>
      </c>
      <c r="D437" s="2" t="s">
        <v>540</v>
      </c>
      <c r="E437" s="1">
        <v>47483</v>
      </c>
    </row>
    <row r="438" spans="1:5" ht="30" customHeight="1" x14ac:dyDescent="0.4">
      <c r="A438" s="3">
        <v>435</v>
      </c>
      <c r="B438" s="2" t="s">
        <v>525</v>
      </c>
      <c r="C438" s="2" t="str">
        <f>"719-1136"</f>
        <v>719-1136</v>
      </c>
      <c r="D438" s="2" t="s">
        <v>526</v>
      </c>
      <c r="E438" s="1">
        <v>46387</v>
      </c>
    </row>
    <row r="439" spans="1:5" ht="30" customHeight="1" x14ac:dyDescent="0.4">
      <c r="A439" s="3">
        <v>436</v>
      </c>
      <c r="B439" s="2" t="s">
        <v>532</v>
      </c>
      <c r="C439" s="2" t="str">
        <f>"719-1137"</f>
        <v>719-1137</v>
      </c>
      <c r="D439" s="2" t="s">
        <v>533</v>
      </c>
      <c r="E439" s="1">
        <v>46387</v>
      </c>
    </row>
    <row r="440" spans="1:5" ht="30" customHeight="1" x14ac:dyDescent="0.4">
      <c r="A440" s="3">
        <v>437</v>
      </c>
      <c r="B440" s="2" t="s">
        <v>520</v>
      </c>
      <c r="C440" s="2" t="str">
        <f>"719-1155"</f>
        <v>719-1155</v>
      </c>
      <c r="D440" s="2" t="str">
        <f>"総社市小寺７－７"</f>
        <v>総社市小寺７－７</v>
      </c>
      <c r="E440" s="1">
        <v>46387</v>
      </c>
    </row>
    <row r="441" spans="1:5" ht="30" customHeight="1" x14ac:dyDescent="0.4">
      <c r="A441" s="3">
        <v>438</v>
      </c>
      <c r="B441" s="2" t="s">
        <v>516</v>
      </c>
      <c r="C441" s="2" t="str">
        <f>"719-1126"</f>
        <v>719-1126</v>
      </c>
      <c r="D441" s="2" t="s">
        <v>517</v>
      </c>
      <c r="E441" s="1">
        <v>46387</v>
      </c>
    </row>
    <row r="442" spans="1:5" ht="30" customHeight="1" x14ac:dyDescent="0.4">
      <c r="A442" s="3">
        <v>439</v>
      </c>
      <c r="B442" s="2" t="s">
        <v>512</v>
      </c>
      <c r="C442" s="2" t="str">
        <f>"719-1125"</f>
        <v>719-1125</v>
      </c>
      <c r="D442" s="2" t="s">
        <v>513</v>
      </c>
      <c r="E442" s="1">
        <v>46387</v>
      </c>
    </row>
    <row r="443" spans="1:5" ht="30" customHeight="1" x14ac:dyDescent="0.4">
      <c r="A443" s="3">
        <v>440</v>
      </c>
      <c r="B443" s="2" t="s">
        <v>496</v>
      </c>
      <c r="C443" s="2" t="str">
        <f>"719-1134"</f>
        <v>719-1134</v>
      </c>
      <c r="D443" s="2" t="str">
        <f>"総社市真壁１２３１－１"</f>
        <v>総社市真壁１２３１－１</v>
      </c>
      <c r="E443" s="1">
        <v>46387</v>
      </c>
    </row>
    <row r="444" spans="1:5" ht="30" customHeight="1" x14ac:dyDescent="0.4">
      <c r="A444" s="3">
        <v>441</v>
      </c>
      <c r="B444" s="2" t="s">
        <v>937</v>
      </c>
      <c r="C444" s="2" t="str">
        <f>"719-1126"</f>
        <v>719-1126</v>
      </c>
      <c r="D444" s="2" t="str">
        <f>"総社市総社１９４７－７"</f>
        <v>総社市総社１９４７－７</v>
      </c>
      <c r="E444" s="1">
        <v>46387</v>
      </c>
    </row>
    <row r="445" spans="1:5" ht="30" customHeight="1" x14ac:dyDescent="0.4">
      <c r="A445" s="3">
        <v>442</v>
      </c>
      <c r="B445" s="2" t="s">
        <v>498</v>
      </c>
      <c r="C445" s="2" t="str">
        <f>"719-1136"</f>
        <v>719-1136</v>
      </c>
      <c r="D445" s="2" t="s">
        <v>499</v>
      </c>
      <c r="E445" s="1">
        <v>46387</v>
      </c>
    </row>
    <row r="446" spans="1:5" ht="30" customHeight="1" x14ac:dyDescent="0.4">
      <c r="A446" s="3">
        <v>443</v>
      </c>
      <c r="B446" s="2" t="s">
        <v>506</v>
      </c>
      <c r="C446" s="2" t="str">
        <f>"719-1131"</f>
        <v>719-1131</v>
      </c>
      <c r="D446" s="2" t="s">
        <v>507</v>
      </c>
      <c r="E446" s="1">
        <v>46387</v>
      </c>
    </row>
    <row r="447" spans="1:5" ht="30" customHeight="1" x14ac:dyDescent="0.4">
      <c r="A447" s="3">
        <v>444</v>
      </c>
      <c r="B447" s="2" t="s">
        <v>500</v>
      </c>
      <c r="C447" s="2" t="str">
        <f>"719-1126"</f>
        <v>719-1126</v>
      </c>
      <c r="D447" s="2" t="str">
        <f>"総社市総社１－１７－２５"</f>
        <v>総社市総社１－１７－２５</v>
      </c>
      <c r="E447" s="1">
        <v>46387</v>
      </c>
    </row>
    <row r="448" spans="1:5" ht="30" customHeight="1" x14ac:dyDescent="0.4">
      <c r="A448" s="3">
        <v>445</v>
      </c>
      <c r="B448" s="2" t="s">
        <v>956</v>
      </c>
      <c r="C448" s="2" t="str">
        <f>"719-1162"</f>
        <v>719-1162</v>
      </c>
      <c r="D448" s="2" t="str">
        <f>"総社市岡谷１１９－５"</f>
        <v>総社市岡谷１１９－５</v>
      </c>
      <c r="E448" s="1">
        <v>46387</v>
      </c>
    </row>
    <row r="449" spans="1:5" ht="30" customHeight="1" x14ac:dyDescent="0.4">
      <c r="A449" s="3">
        <v>446</v>
      </c>
      <c r="B449" s="2" t="s">
        <v>522</v>
      </c>
      <c r="C449" s="2" t="str">
        <f>"719-1162"</f>
        <v>719-1162</v>
      </c>
      <c r="D449" s="2" t="str">
        <f>"総社市岡谷１２１－６"</f>
        <v>総社市岡谷１２１－６</v>
      </c>
      <c r="E449" s="1">
        <v>46387</v>
      </c>
    </row>
    <row r="450" spans="1:5" ht="30" customHeight="1" x14ac:dyDescent="0.4">
      <c r="A450" s="3">
        <v>447</v>
      </c>
      <c r="B450" s="2" t="s">
        <v>514</v>
      </c>
      <c r="C450" s="2" t="str">
        <f>"719-1132"</f>
        <v>719-1132</v>
      </c>
      <c r="D450" s="2" t="s">
        <v>515</v>
      </c>
      <c r="E450" s="1">
        <v>46387</v>
      </c>
    </row>
    <row r="451" spans="1:5" ht="30" customHeight="1" x14ac:dyDescent="0.4">
      <c r="A451" s="3">
        <v>448</v>
      </c>
      <c r="B451" s="2" t="s">
        <v>8</v>
      </c>
      <c r="C451" s="2" t="str">
        <f>"719-1134"</f>
        <v>719-1134</v>
      </c>
      <c r="D451" s="2" t="s">
        <v>494</v>
      </c>
      <c r="E451" s="1">
        <v>46387</v>
      </c>
    </row>
    <row r="452" spans="1:5" ht="30" customHeight="1" x14ac:dyDescent="0.4">
      <c r="A452" s="3">
        <v>449</v>
      </c>
      <c r="B452" s="2" t="s">
        <v>545</v>
      </c>
      <c r="C452" s="2" t="str">
        <f>"716-0021"</f>
        <v>716-0021</v>
      </c>
      <c r="D452" s="2" t="s">
        <v>546</v>
      </c>
      <c r="E452" s="1">
        <v>46387</v>
      </c>
    </row>
    <row r="453" spans="1:5" ht="30" customHeight="1" x14ac:dyDescent="0.4">
      <c r="A453" s="3">
        <v>450</v>
      </c>
      <c r="B453" s="2" t="s">
        <v>939</v>
      </c>
      <c r="C453" s="2" t="str">
        <f>"716-0045"</f>
        <v>716-0045</v>
      </c>
      <c r="D453" s="2" t="str">
        <f>"高梁市中原町１４５３－１"</f>
        <v>高梁市中原町１４５３－１</v>
      </c>
      <c r="E453" s="1">
        <v>46387</v>
      </c>
    </row>
    <row r="454" spans="1:5" ht="30" customHeight="1" x14ac:dyDescent="0.4">
      <c r="A454" s="3">
        <v>451</v>
      </c>
      <c r="B454" s="2" t="s">
        <v>547</v>
      </c>
      <c r="C454" s="2" t="str">
        <f>"716-0028"</f>
        <v>716-0028</v>
      </c>
      <c r="D454" s="2" t="s">
        <v>548</v>
      </c>
      <c r="E454" s="1">
        <v>46387</v>
      </c>
    </row>
    <row r="455" spans="1:5" ht="30" customHeight="1" x14ac:dyDescent="0.4">
      <c r="A455" s="3">
        <v>452</v>
      </c>
      <c r="B455" s="2" t="s">
        <v>543</v>
      </c>
      <c r="C455" s="2" t="str">
        <f>"716-0061"</f>
        <v>716-0061</v>
      </c>
      <c r="D455" s="2" t="s">
        <v>544</v>
      </c>
      <c r="E455" s="1">
        <v>46387</v>
      </c>
    </row>
    <row r="456" spans="1:5" ht="30" customHeight="1" x14ac:dyDescent="0.4">
      <c r="A456" s="3">
        <v>453</v>
      </c>
      <c r="B456" s="2" t="s">
        <v>881</v>
      </c>
      <c r="C456" s="2" t="str">
        <f>"716-1321"</f>
        <v>716-1321</v>
      </c>
      <c r="D456" s="2" t="s">
        <v>882</v>
      </c>
      <c r="E456" s="1">
        <v>46387</v>
      </c>
    </row>
    <row r="457" spans="1:5" ht="30" customHeight="1" x14ac:dyDescent="0.4">
      <c r="A457" s="3">
        <v>454</v>
      </c>
      <c r="B457" s="2" t="s">
        <v>831</v>
      </c>
      <c r="C457" s="2" t="str">
        <f>"719-2232"</f>
        <v>719-2232</v>
      </c>
      <c r="D457" s="2" t="s">
        <v>832</v>
      </c>
      <c r="E457" s="1">
        <v>46387</v>
      </c>
    </row>
    <row r="458" spans="1:5" ht="30" customHeight="1" x14ac:dyDescent="0.4">
      <c r="A458" s="3">
        <v>455</v>
      </c>
      <c r="B458" s="2" t="s">
        <v>854</v>
      </c>
      <c r="C458" s="2" t="str">
        <f>"716-0111"</f>
        <v>716-0111</v>
      </c>
      <c r="D458" s="2" t="s">
        <v>855</v>
      </c>
      <c r="E458" s="1">
        <v>46387</v>
      </c>
    </row>
    <row r="459" spans="1:5" ht="30" customHeight="1" x14ac:dyDescent="0.4">
      <c r="A459" s="3">
        <v>456</v>
      </c>
      <c r="B459" s="2" t="s">
        <v>969</v>
      </c>
      <c r="C459" s="2" t="str">
        <f>"716-0201"</f>
        <v>716-0201</v>
      </c>
      <c r="D459" s="2" t="s">
        <v>970</v>
      </c>
      <c r="E459" s="1">
        <v>48213</v>
      </c>
    </row>
    <row r="460" spans="1:5" ht="30" customHeight="1" x14ac:dyDescent="0.4">
      <c r="A460" s="3">
        <v>457</v>
      </c>
      <c r="B460" s="2" t="s">
        <v>833</v>
      </c>
      <c r="C460" s="2" t="str">
        <f>"716-0201"</f>
        <v>716-0201</v>
      </c>
      <c r="D460" s="2" t="s">
        <v>834</v>
      </c>
      <c r="E460" s="1">
        <v>46387</v>
      </c>
    </row>
    <row r="461" spans="1:5" ht="30" customHeight="1" x14ac:dyDescent="0.4">
      <c r="A461" s="3">
        <v>458</v>
      </c>
      <c r="B461" s="2" t="s">
        <v>853</v>
      </c>
      <c r="C461" s="2" t="str">
        <f>"716-0303"</f>
        <v>716-0303</v>
      </c>
      <c r="D461" s="2" t="str">
        <f>"高梁市備中町長屋６－１"</f>
        <v>高梁市備中町長屋６－１</v>
      </c>
      <c r="E461" s="1">
        <v>46387</v>
      </c>
    </row>
    <row r="462" spans="1:5" ht="30" customHeight="1" x14ac:dyDescent="0.4">
      <c r="A462" s="3">
        <v>459</v>
      </c>
      <c r="B462" s="2" t="s">
        <v>852</v>
      </c>
      <c r="C462" s="2" t="str">
        <f>"716-0311"</f>
        <v>716-0311</v>
      </c>
      <c r="D462" s="2" t="str">
        <f>"高梁市備中町平川６１７２－４"</f>
        <v>高梁市備中町平川６１７２－４</v>
      </c>
      <c r="E462" s="1">
        <v>46387</v>
      </c>
    </row>
    <row r="463" spans="1:5" ht="30" customHeight="1" x14ac:dyDescent="0.4">
      <c r="A463" s="3">
        <v>460</v>
      </c>
      <c r="B463" s="2" t="s">
        <v>851</v>
      </c>
      <c r="C463" s="2" t="str">
        <f>"716-0323"</f>
        <v>716-0323</v>
      </c>
      <c r="D463" s="2" t="str">
        <f>"高梁市備中町西山２１１５－４"</f>
        <v>高梁市備中町西山２１１５－４</v>
      </c>
      <c r="E463" s="1">
        <v>46387</v>
      </c>
    </row>
    <row r="464" spans="1:5" ht="30" customHeight="1" x14ac:dyDescent="0.4">
      <c r="A464" s="3">
        <v>461</v>
      </c>
      <c r="B464" s="2" t="s">
        <v>967</v>
      </c>
      <c r="C464" s="2" t="str">
        <f>"716-0303"</f>
        <v>716-0303</v>
      </c>
      <c r="D464" s="2" t="str">
        <f>"高梁市備中町長屋２７－１３"</f>
        <v>高梁市備中町長屋２７－１３</v>
      </c>
      <c r="E464" s="1">
        <v>46387</v>
      </c>
    </row>
    <row r="465" spans="1:5" ht="30" customHeight="1" x14ac:dyDescent="0.4">
      <c r="A465" s="3">
        <v>462</v>
      </c>
      <c r="B465" s="2" t="s">
        <v>555</v>
      </c>
      <c r="C465" s="2" t="str">
        <f>"716-0011"</f>
        <v>716-0011</v>
      </c>
      <c r="D465" s="2" t="str">
        <f>"高梁市本町１１－１"</f>
        <v>高梁市本町１１－１</v>
      </c>
      <c r="E465" s="1">
        <v>46387</v>
      </c>
    </row>
    <row r="466" spans="1:5" ht="30" customHeight="1" x14ac:dyDescent="0.4">
      <c r="A466" s="3">
        <v>463</v>
      </c>
      <c r="B466" s="2" t="s">
        <v>541</v>
      </c>
      <c r="C466" s="2" t="str">
        <f>"716-0033"</f>
        <v>716-0033</v>
      </c>
      <c r="D466" s="2" t="s">
        <v>542</v>
      </c>
      <c r="E466" s="1">
        <v>46387</v>
      </c>
    </row>
    <row r="467" spans="1:5" ht="30" customHeight="1" x14ac:dyDescent="0.4">
      <c r="A467" s="3">
        <v>464</v>
      </c>
      <c r="B467" s="2" t="s">
        <v>549</v>
      </c>
      <c r="C467" s="2" t="str">
        <f>"716-0061"</f>
        <v>716-0061</v>
      </c>
      <c r="D467" s="2" t="s">
        <v>550</v>
      </c>
      <c r="E467" s="1">
        <v>46387</v>
      </c>
    </row>
    <row r="468" spans="1:5" ht="30" customHeight="1" x14ac:dyDescent="0.4">
      <c r="A468" s="3">
        <v>465</v>
      </c>
      <c r="B468" s="2" t="s">
        <v>553</v>
      </c>
      <c r="C468" s="2" t="str">
        <f>"716-1311"</f>
        <v>716-1311</v>
      </c>
      <c r="D468" s="2" t="str">
        <f>"高梁市巨瀬町１６５０－１"</f>
        <v>高梁市巨瀬町１６５０－１</v>
      </c>
      <c r="E468" s="1">
        <v>46387</v>
      </c>
    </row>
    <row r="469" spans="1:5" ht="30" customHeight="1" x14ac:dyDescent="0.4">
      <c r="A469" s="3">
        <v>466</v>
      </c>
      <c r="B469" s="2" t="s">
        <v>556</v>
      </c>
      <c r="C469" s="2" t="str">
        <f>"716-0061"</f>
        <v>716-0061</v>
      </c>
      <c r="D469" s="2" t="str">
        <f>"高梁市落合町阿部５９９－１"</f>
        <v>高梁市落合町阿部５９９－１</v>
      </c>
      <c r="E469" s="1">
        <v>46387</v>
      </c>
    </row>
    <row r="470" spans="1:5" ht="30" customHeight="1" x14ac:dyDescent="0.4">
      <c r="A470" s="3">
        <v>467</v>
      </c>
      <c r="B470" s="2" t="s">
        <v>551</v>
      </c>
      <c r="C470" s="2" t="str">
        <f>"716-0036"</f>
        <v>716-0036</v>
      </c>
      <c r="D470" s="2" t="s">
        <v>552</v>
      </c>
      <c r="E470" s="1">
        <v>46387</v>
      </c>
    </row>
    <row r="471" spans="1:5" ht="30" customHeight="1" x14ac:dyDescent="0.4">
      <c r="A471" s="3">
        <v>468</v>
      </c>
      <c r="B471" s="2" t="s">
        <v>745</v>
      </c>
      <c r="C471" s="2" t="str">
        <f>"716-0111"</f>
        <v>716-0111</v>
      </c>
      <c r="D471" s="2" t="str">
        <f>"高梁市成羽町下原１００４－１"</f>
        <v>高梁市成羽町下原１００４－１</v>
      </c>
      <c r="E471" s="1">
        <v>46387</v>
      </c>
    </row>
    <row r="472" spans="1:5" ht="30" customHeight="1" x14ac:dyDescent="0.4">
      <c r="A472" s="3">
        <v>469</v>
      </c>
      <c r="B472" s="2" t="s">
        <v>554</v>
      </c>
      <c r="C472" s="2" t="str">
        <f>"716-1311"</f>
        <v>716-1311</v>
      </c>
      <c r="D472" s="2" t="str">
        <f>"高梁市巨瀬町５０８５－１"</f>
        <v>高梁市巨瀬町５０８５－１</v>
      </c>
      <c r="E472" s="1">
        <v>46387</v>
      </c>
    </row>
    <row r="473" spans="1:5" ht="30" customHeight="1" x14ac:dyDescent="0.4">
      <c r="A473" s="3">
        <v>470</v>
      </c>
      <c r="B473" s="2" t="s">
        <v>560</v>
      </c>
      <c r="C473" s="2" t="str">
        <f>"718-0013"</f>
        <v>718-0013</v>
      </c>
      <c r="D473" s="2" t="s">
        <v>561</v>
      </c>
      <c r="E473" s="1">
        <v>47848</v>
      </c>
    </row>
    <row r="474" spans="1:5" ht="30" customHeight="1" x14ac:dyDescent="0.4">
      <c r="A474" s="3">
        <v>471</v>
      </c>
      <c r="B474" s="2" t="s">
        <v>940</v>
      </c>
      <c r="C474" s="2" t="str">
        <f>"718-0011"</f>
        <v>718-0011</v>
      </c>
      <c r="D474" s="2" t="str">
        <f>"新見市新見７３６－２"</f>
        <v>新見市新見７３６－２</v>
      </c>
      <c r="E474" s="1">
        <v>46387</v>
      </c>
    </row>
    <row r="475" spans="1:5" ht="30" customHeight="1" x14ac:dyDescent="0.4">
      <c r="A475" s="3">
        <v>472</v>
      </c>
      <c r="B475" s="2" t="s">
        <v>563</v>
      </c>
      <c r="C475" s="2" t="str">
        <f>"718-0015"</f>
        <v>718-0015</v>
      </c>
      <c r="D475" s="2" t="s">
        <v>564</v>
      </c>
      <c r="E475" s="1">
        <v>46387</v>
      </c>
    </row>
    <row r="476" spans="1:5" ht="30" customHeight="1" x14ac:dyDescent="0.4">
      <c r="A476" s="3">
        <v>473</v>
      </c>
      <c r="B476" s="2" t="s">
        <v>571</v>
      </c>
      <c r="C476" s="2" t="str">
        <f>"718-0017"</f>
        <v>718-0017</v>
      </c>
      <c r="D476" s="2" t="s">
        <v>572</v>
      </c>
      <c r="E476" s="1">
        <v>46387</v>
      </c>
    </row>
    <row r="477" spans="1:5" ht="30" customHeight="1" x14ac:dyDescent="0.4">
      <c r="A477" s="3">
        <v>474</v>
      </c>
      <c r="B477" s="2" t="s">
        <v>746</v>
      </c>
      <c r="C477" s="2" t="str">
        <f>"719-3504"</f>
        <v>719-3504</v>
      </c>
      <c r="D477" s="2" t="s">
        <v>747</v>
      </c>
      <c r="E477" s="1">
        <v>46387</v>
      </c>
    </row>
    <row r="478" spans="1:5" ht="30" customHeight="1" x14ac:dyDescent="0.4">
      <c r="A478" s="3">
        <v>475</v>
      </c>
      <c r="B478" s="2" t="s">
        <v>857</v>
      </c>
      <c r="C478" s="2" t="str">
        <f>"718-0303"</f>
        <v>718-0303</v>
      </c>
      <c r="D478" s="2" t="s">
        <v>858</v>
      </c>
      <c r="E478" s="1">
        <v>46387</v>
      </c>
    </row>
    <row r="479" spans="1:5" ht="30" customHeight="1" x14ac:dyDescent="0.4">
      <c r="A479" s="3">
        <v>476</v>
      </c>
      <c r="B479" s="2" t="s">
        <v>567</v>
      </c>
      <c r="C479" s="2" t="str">
        <f>"718-0003"</f>
        <v>718-0003</v>
      </c>
      <c r="D479" s="2" t="str">
        <f>"新見市高尾２４５０－２"</f>
        <v>新見市高尾２４５０－２</v>
      </c>
      <c r="E479" s="1">
        <v>46387</v>
      </c>
    </row>
    <row r="480" spans="1:5" ht="30" customHeight="1" x14ac:dyDescent="0.4">
      <c r="A480" s="3">
        <v>477</v>
      </c>
      <c r="B480" s="2" t="s">
        <v>570</v>
      </c>
      <c r="C480" s="2" t="str">
        <f>"718-0003"</f>
        <v>718-0003</v>
      </c>
      <c r="D480" s="2" t="str">
        <f>"新見市高尾２４８８－１３"</f>
        <v>新見市高尾２４８８－１３</v>
      </c>
      <c r="E480" s="1">
        <v>46387</v>
      </c>
    </row>
    <row r="481" spans="1:5" ht="30" customHeight="1" x14ac:dyDescent="0.4">
      <c r="A481" s="3">
        <v>478</v>
      </c>
      <c r="B481" s="2" t="s">
        <v>748</v>
      </c>
      <c r="C481" s="2" t="str">
        <f>"719-3701"</f>
        <v>719-3701</v>
      </c>
      <c r="D481" s="2" t="s">
        <v>749</v>
      </c>
      <c r="E481" s="1">
        <v>46387</v>
      </c>
    </row>
    <row r="482" spans="1:5" ht="30" customHeight="1" x14ac:dyDescent="0.4">
      <c r="A482" s="3">
        <v>479</v>
      </c>
      <c r="B482" s="2" t="s">
        <v>557</v>
      </c>
      <c r="C482" s="2" t="str">
        <f>"718-0003"</f>
        <v>718-0003</v>
      </c>
      <c r="D482" s="2" t="str">
        <f>"新見市高尾７６５－４"</f>
        <v>新見市高尾７６５－４</v>
      </c>
      <c r="E482" s="1">
        <v>46387</v>
      </c>
    </row>
    <row r="483" spans="1:5" ht="30" customHeight="1" x14ac:dyDescent="0.4">
      <c r="A483" s="3">
        <v>480</v>
      </c>
      <c r="B483" s="2" t="s">
        <v>574</v>
      </c>
      <c r="C483" s="2" t="str">
        <f>"718-0017"</f>
        <v>718-0017</v>
      </c>
      <c r="D483" s="2" t="s">
        <v>575</v>
      </c>
      <c r="E483" s="1">
        <v>46752</v>
      </c>
    </row>
    <row r="484" spans="1:5" ht="30" customHeight="1" x14ac:dyDescent="0.4">
      <c r="A484" s="3">
        <v>481</v>
      </c>
      <c r="B484" s="2" t="s">
        <v>859</v>
      </c>
      <c r="C484" s="2" t="str">
        <f>"719-3503"</f>
        <v>719-3503</v>
      </c>
      <c r="D484" s="2" t="s">
        <v>860</v>
      </c>
      <c r="E484" s="1">
        <v>46387</v>
      </c>
    </row>
    <row r="485" spans="1:5" ht="30" customHeight="1" x14ac:dyDescent="0.4">
      <c r="A485" s="3">
        <v>482</v>
      </c>
      <c r="B485" s="2" t="s">
        <v>861</v>
      </c>
      <c r="C485" s="2" t="str">
        <f>"719-3611"</f>
        <v>719-3611</v>
      </c>
      <c r="D485" s="2" t="s">
        <v>862</v>
      </c>
      <c r="E485" s="1">
        <v>46387</v>
      </c>
    </row>
    <row r="486" spans="1:5" ht="30" customHeight="1" x14ac:dyDescent="0.4">
      <c r="A486" s="3">
        <v>483</v>
      </c>
      <c r="B486" s="2" t="s">
        <v>835</v>
      </c>
      <c r="C486" s="2" t="str">
        <f>"718-0211"</f>
        <v>718-0211</v>
      </c>
      <c r="D486" s="2" t="str">
        <f>"新見市菅生６３８２－４"</f>
        <v>新見市菅生６３８２－４</v>
      </c>
      <c r="E486" s="1">
        <v>46387</v>
      </c>
    </row>
    <row r="487" spans="1:5" ht="30" customHeight="1" x14ac:dyDescent="0.4">
      <c r="A487" s="3">
        <v>484</v>
      </c>
      <c r="B487" s="2" t="s">
        <v>863</v>
      </c>
      <c r="C487" s="2" t="str">
        <f>"719-2801"</f>
        <v>719-2801</v>
      </c>
      <c r="D487" s="2" t="s">
        <v>864</v>
      </c>
      <c r="E487" s="1">
        <v>46387</v>
      </c>
    </row>
    <row r="488" spans="1:5" ht="30" customHeight="1" x14ac:dyDescent="0.4">
      <c r="A488" s="3">
        <v>485</v>
      </c>
      <c r="B488" s="2" t="s">
        <v>836</v>
      </c>
      <c r="C488" s="2" t="str">
        <f>"719-2731"</f>
        <v>719-2731</v>
      </c>
      <c r="D488" s="2" t="s">
        <v>837</v>
      </c>
      <c r="E488" s="1">
        <v>46387</v>
      </c>
    </row>
    <row r="489" spans="1:5" ht="30" customHeight="1" x14ac:dyDescent="0.4">
      <c r="A489" s="3">
        <v>486</v>
      </c>
      <c r="B489" s="2" t="s">
        <v>562</v>
      </c>
      <c r="C489" s="2" t="str">
        <f>"718-0011"</f>
        <v>718-0011</v>
      </c>
      <c r="D489" s="2" t="str">
        <f>"新見市新見８２７－１"</f>
        <v>新見市新見８２７－１</v>
      </c>
      <c r="E489" s="1">
        <v>46387</v>
      </c>
    </row>
    <row r="490" spans="1:5" ht="30" customHeight="1" x14ac:dyDescent="0.4">
      <c r="A490" s="3">
        <v>487</v>
      </c>
      <c r="B490" s="2" t="s">
        <v>568</v>
      </c>
      <c r="C490" s="2" t="str">
        <f>"718-0003"</f>
        <v>718-0003</v>
      </c>
      <c r="D490" s="2" t="s">
        <v>569</v>
      </c>
      <c r="E490" s="1">
        <v>46387</v>
      </c>
    </row>
    <row r="491" spans="1:5" ht="30" customHeight="1" x14ac:dyDescent="0.4">
      <c r="A491" s="3">
        <v>488</v>
      </c>
      <c r="B491" s="2" t="s">
        <v>558</v>
      </c>
      <c r="C491" s="2" t="str">
        <f>"718-0003"</f>
        <v>718-0003</v>
      </c>
      <c r="D491" s="2" t="str">
        <f>"新見市高尾１９３３－１"</f>
        <v>新見市高尾１９３３－１</v>
      </c>
      <c r="E491" s="1">
        <v>46387</v>
      </c>
    </row>
    <row r="492" spans="1:5" ht="30" customHeight="1" x14ac:dyDescent="0.4">
      <c r="A492" s="3">
        <v>489</v>
      </c>
      <c r="B492" s="2" t="s">
        <v>559</v>
      </c>
      <c r="C492" s="2" t="str">
        <f>"718-0003"</f>
        <v>718-0003</v>
      </c>
      <c r="D492" s="2" t="str">
        <f>"新見市高尾２４８８－１３"</f>
        <v>新見市高尾２４８８－１３</v>
      </c>
      <c r="E492" s="1">
        <v>46387</v>
      </c>
    </row>
    <row r="493" spans="1:5" ht="30" customHeight="1" x14ac:dyDescent="0.4">
      <c r="A493" s="3">
        <v>490</v>
      </c>
      <c r="B493" s="2" t="s">
        <v>566</v>
      </c>
      <c r="C493" s="2" t="str">
        <f>"718-0003"</f>
        <v>718-0003</v>
      </c>
      <c r="D493" s="2" t="str">
        <f>"新見市高尾２４８７－２０"</f>
        <v>新見市高尾２４８７－２０</v>
      </c>
      <c r="E493" s="1">
        <v>46387</v>
      </c>
    </row>
    <row r="494" spans="1:5" ht="30" customHeight="1" x14ac:dyDescent="0.4">
      <c r="A494" s="3">
        <v>491</v>
      </c>
      <c r="B494" s="2" t="s">
        <v>573</v>
      </c>
      <c r="C494" s="2" t="str">
        <f>"718-0003"</f>
        <v>718-0003</v>
      </c>
      <c r="D494" s="2" t="str">
        <f>"新見市高尾２２７８－１"</f>
        <v>新見市高尾２２７８－１</v>
      </c>
      <c r="E494" s="1">
        <v>46387</v>
      </c>
    </row>
    <row r="495" spans="1:5" ht="30" customHeight="1" x14ac:dyDescent="0.4">
      <c r="A495" s="3">
        <v>492</v>
      </c>
      <c r="B495" s="2" t="s">
        <v>583</v>
      </c>
      <c r="C495" s="2" t="str">
        <f>"705-0033"</f>
        <v>705-0033</v>
      </c>
      <c r="D495" s="2" t="s">
        <v>584</v>
      </c>
      <c r="E495" s="1">
        <v>46387</v>
      </c>
    </row>
    <row r="496" spans="1:5" ht="30" customHeight="1" x14ac:dyDescent="0.4">
      <c r="A496" s="3">
        <v>493</v>
      </c>
      <c r="B496" s="2" t="s">
        <v>578</v>
      </c>
      <c r="C496" s="2" t="str">
        <f>"705-0001"</f>
        <v>705-0001</v>
      </c>
      <c r="D496" s="2" t="str">
        <f>"備前市伊部２１５３－１"</f>
        <v>備前市伊部２１５３－１</v>
      </c>
      <c r="E496" s="1">
        <v>46387</v>
      </c>
    </row>
    <row r="497" spans="1:5" ht="30" customHeight="1" x14ac:dyDescent="0.4">
      <c r="A497" s="3">
        <v>494</v>
      </c>
      <c r="B497" s="2" t="s">
        <v>9</v>
      </c>
      <c r="C497" s="2" t="str">
        <f>"705-0021"</f>
        <v>705-0021</v>
      </c>
      <c r="D497" s="2" t="s">
        <v>591</v>
      </c>
      <c r="E497" s="1">
        <v>46387</v>
      </c>
    </row>
    <row r="498" spans="1:5" ht="30" customHeight="1" x14ac:dyDescent="0.4">
      <c r="A498" s="3">
        <v>495</v>
      </c>
      <c r="B498" s="2" t="s">
        <v>587</v>
      </c>
      <c r="C498" s="2" t="str">
        <f>"705-0001"</f>
        <v>705-0001</v>
      </c>
      <c r="D498" s="2" t="s">
        <v>588</v>
      </c>
      <c r="E498" s="1">
        <v>46387</v>
      </c>
    </row>
    <row r="499" spans="1:5" ht="30" customHeight="1" x14ac:dyDescent="0.4">
      <c r="A499" s="3">
        <v>496</v>
      </c>
      <c r="B499" s="2" t="s">
        <v>949</v>
      </c>
      <c r="C499" s="2" t="str">
        <f>"701-3204"</f>
        <v>701-3204</v>
      </c>
      <c r="D499" s="2" t="str">
        <f>"備前市日生町日生 246-26"</f>
        <v>備前市日生町日生 246-26</v>
      </c>
      <c r="E499" s="1">
        <v>46387</v>
      </c>
    </row>
    <row r="500" spans="1:5" ht="30" customHeight="1" x14ac:dyDescent="0.4">
      <c r="A500" s="3">
        <v>497</v>
      </c>
      <c r="B500" s="2" t="s">
        <v>589</v>
      </c>
      <c r="C500" s="2" t="str">
        <f>"705-0021"</f>
        <v>705-0021</v>
      </c>
      <c r="D500" s="2" t="s">
        <v>590</v>
      </c>
      <c r="E500" s="1">
        <v>46387</v>
      </c>
    </row>
    <row r="501" spans="1:5" ht="30" customHeight="1" x14ac:dyDescent="0.4">
      <c r="A501" s="3">
        <v>498</v>
      </c>
      <c r="B501" s="2" t="s">
        <v>585</v>
      </c>
      <c r="C501" s="2" t="str">
        <f>"705-0001"</f>
        <v>705-0001</v>
      </c>
      <c r="D501" s="2" t="s">
        <v>586</v>
      </c>
      <c r="E501" s="1">
        <v>46387</v>
      </c>
    </row>
    <row r="502" spans="1:5" ht="30" customHeight="1" x14ac:dyDescent="0.4">
      <c r="A502" s="3">
        <v>499</v>
      </c>
      <c r="B502" s="2" t="s">
        <v>582</v>
      </c>
      <c r="C502" s="2" t="str">
        <f>"705-0035"</f>
        <v>705-0035</v>
      </c>
      <c r="D502" s="2" t="str">
        <f>"備前市木谷２２０－１"</f>
        <v>備前市木谷２２０－１</v>
      </c>
      <c r="E502" s="1">
        <v>46387</v>
      </c>
    </row>
    <row r="503" spans="1:5" ht="30" customHeight="1" x14ac:dyDescent="0.4">
      <c r="A503" s="3">
        <v>500</v>
      </c>
      <c r="B503" s="2" t="s">
        <v>838</v>
      </c>
      <c r="C503" s="2" t="str">
        <f>"705-8501"</f>
        <v>705-8501</v>
      </c>
      <c r="D503" s="2" t="s">
        <v>839</v>
      </c>
      <c r="E503" s="1">
        <v>46387</v>
      </c>
    </row>
    <row r="504" spans="1:5" ht="30" customHeight="1" x14ac:dyDescent="0.4">
      <c r="A504" s="3">
        <v>501</v>
      </c>
      <c r="B504" s="2" t="s">
        <v>579</v>
      </c>
      <c r="C504" s="2" t="str">
        <f>"709-0224"</f>
        <v>709-0224</v>
      </c>
      <c r="D504" s="2" t="str">
        <f>"備前市吉永町吉永中７６７－６"</f>
        <v>備前市吉永町吉永中７６７－６</v>
      </c>
      <c r="E504" s="1">
        <v>46387</v>
      </c>
    </row>
    <row r="505" spans="1:5" ht="30" customHeight="1" x14ac:dyDescent="0.4">
      <c r="A505" s="3">
        <v>502</v>
      </c>
      <c r="B505" s="2" t="s">
        <v>580</v>
      </c>
      <c r="C505" s="2" t="str">
        <f>"705-0001"</f>
        <v>705-0001</v>
      </c>
      <c r="D505" s="2" t="s">
        <v>581</v>
      </c>
      <c r="E505" s="1">
        <v>47848</v>
      </c>
    </row>
    <row r="506" spans="1:5" ht="30" customHeight="1" x14ac:dyDescent="0.4">
      <c r="A506" s="3">
        <v>503</v>
      </c>
      <c r="B506" s="2" t="s">
        <v>666</v>
      </c>
      <c r="C506" s="2" t="str">
        <f>"701-3202"</f>
        <v>701-3202</v>
      </c>
      <c r="D506" s="2" t="str">
        <f>"備前市日生町寒河３９５５－２"</f>
        <v>備前市日生町寒河３９５５－２</v>
      </c>
      <c r="E506" s="1">
        <v>46387</v>
      </c>
    </row>
    <row r="507" spans="1:5" ht="30" customHeight="1" x14ac:dyDescent="0.4">
      <c r="A507" s="3">
        <v>504</v>
      </c>
      <c r="B507" s="2" t="s">
        <v>883</v>
      </c>
      <c r="C507" s="2" t="str">
        <f>"705-0132"</f>
        <v>705-0132</v>
      </c>
      <c r="D507" s="2" t="str">
        <f>"備前市三石１００－３０"</f>
        <v>備前市三石１００－３０</v>
      </c>
      <c r="E507" s="1">
        <v>47848</v>
      </c>
    </row>
    <row r="508" spans="1:5" ht="30" customHeight="1" x14ac:dyDescent="0.4">
      <c r="A508" s="3">
        <v>505</v>
      </c>
      <c r="B508" s="2" t="s">
        <v>873</v>
      </c>
      <c r="C508" s="2" t="str">
        <f>"701-3202"</f>
        <v>701-3202</v>
      </c>
      <c r="D508" s="2" t="str">
        <f>"備前市日生町寒河２５７０－４１"</f>
        <v>備前市日生町寒河２５７０－４１</v>
      </c>
      <c r="E508" s="1">
        <v>46387</v>
      </c>
    </row>
    <row r="509" spans="1:5" ht="30" customHeight="1" x14ac:dyDescent="0.4">
      <c r="A509" s="3">
        <v>506</v>
      </c>
      <c r="B509" s="2" t="s">
        <v>874</v>
      </c>
      <c r="C509" s="2" t="str">
        <f>"709-0224"</f>
        <v>709-0224</v>
      </c>
      <c r="D509" s="2" t="str">
        <f>"備前市吉永町吉永中５６３－４"</f>
        <v>備前市吉永町吉永中５６３－４</v>
      </c>
      <c r="E509" s="1">
        <v>46387</v>
      </c>
    </row>
    <row r="510" spans="1:5" ht="30" customHeight="1" x14ac:dyDescent="0.4">
      <c r="A510" s="3">
        <v>507</v>
      </c>
      <c r="B510" s="2" t="s">
        <v>576</v>
      </c>
      <c r="C510" s="2" t="str">
        <f>"705-0011"</f>
        <v>705-0011</v>
      </c>
      <c r="D510" s="2" t="s">
        <v>577</v>
      </c>
      <c r="E510" s="1">
        <v>46387</v>
      </c>
    </row>
    <row r="511" spans="1:5" ht="30" customHeight="1" x14ac:dyDescent="0.4">
      <c r="A511" s="3">
        <v>508</v>
      </c>
      <c r="B511" s="2" t="s">
        <v>605</v>
      </c>
      <c r="C511" s="2" t="str">
        <f>"701-4221"</f>
        <v>701-4221</v>
      </c>
      <c r="D511" s="2" t="s">
        <v>606</v>
      </c>
      <c r="E511" s="1">
        <v>47118</v>
      </c>
    </row>
    <row r="512" spans="1:5" ht="30" customHeight="1" x14ac:dyDescent="0.4">
      <c r="A512" s="3">
        <v>509</v>
      </c>
      <c r="B512" s="2" t="s">
        <v>676</v>
      </c>
      <c r="C512" s="2" t="str">
        <f>"701-4214"</f>
        <v>701-4214</v>
      </c>
      <c r="D512" s="2" t="str">
        <f>"瀬戸内市邑久町本庄２００４－５"</f>
        <v>瀬戸内市邑久町本庄２００４－５</v>
      </c>
      <c r="E512" s="1">
        <v>46387</v>
      </c>
    </row>
    <row r="513" spans="1:5" ht="30" customHeight="1" x14ac:dyDescent="0.4">
      <c r="A513" s="3">
        <v>510</v>
      </c>
      <c r="B513" s="2" t="s">
        <v>603</v>
      </c>
      <c r="C513" s="2" t="str">
        <f>"701-4246"</f>
        <v>701-4246</v>
      </c>
      <c r="D513" s="2" t="s">
        <v>604</v>
      </c>
      <c r="E513" s="1">
        <v>46387</v>
      </c>
    </row>
    <row r="514" spans="1:5" ht="30" customHeight="1" x14ac:dyDescent="0.4">
      <c r="A514" s="3">
        <v>511</v>
      </c>
      <c r="B514" s="2" t="s">
        <v>887</v>
      </c>
      <c r="C514" s="2" t="str">
        <f>"701-4501"</f>
        <v>701-4501</v>
      </c>
      <c r="D514" s="2" t="s">
        <v>888</v>
      </c>
      <c r="E514" s="1">
        <v>46387</v>
      </c>
    </row>
    <row r="515" spans="1:5" ht="30" customHeight="1" x14ac:dyDescent="0.4">
      <c r="A515" s="3">
        <v>512</v>
      </c>
      <c r="B515" s="2" t="s">
        <v>677</v>
      </c>
      <c r="C515" s="2" t="str">
        <f>"701-4223"</f>
        <v>701-4223</v>
      </c>
      <c r="D515" s="2" t="str">
        <f>"瀬戸内市邑久町豊原３４１－２"</f>
        <v>瀬戸内市邑久町豊原３４１－２</v>
      </c>
      <c r="E515" s="1">
        <v>46387</v>
      </c>
    </row>
    <row r="516" spans="1:5" ht="30" customHeight="1" x14ac:dyDescent="0.4">
      <c r="A516" s="3">
        <v>513</v>
      </c>
      <c r="B516" s="2" t="s">
        <v>607</v>
      </c>
      <c r="C516" s="2" t="str">
        <f>"701-4264"</f>
        <v>701-4264</v>
      </c>
      <c r="D516" s="2" t="str">
        <f>"瀬戸内市長船町土師３３２－１"</f>
        <v>瀬戸内市長船町土師３３２－１</v>
      </c>
      <c r="E516" s="1">
        <v>46387</v>
      </c>
    </row>
    <row r="517" spans="1:5" ht="30" customHeight="1" x14ac:dyDescent="0.4">
      <c r="A517" s="3">
        <v>514</v>
      </c>
      <c r="B517" s="2" t="s">
        <v>600</v>
      </c>
      <c r="C517" s="2" t="str">
        <f>"701-4276"</f>
        <v>701-4276</v>
      </c>
      <c r="D517" s="2" t="str">
        <f>"瀬戸内市長船町服部５２１－１"</f>
        <v>瀬戸内市長船町服部５２１－１</v>
      </c>
      <c r="E517" s="1">
        <v>46387</v>
      </c>
    </row>
    <row r="518" spans="1:5" ht="30" customHeight="1" x14ac:dyDescent="0.4">
      <c r="A518" s="3">
        <v>515</v>
      </c>
      <c r="B518" s="2" t="s">
        <v>672</v>
      </c>
      <c r="C518" s="2" t="str">
        <f>"701-4271"</f>
        <v>701-4271</v>
      </c>
      <c r="D518" s="2" t="s">
        <v>673</v>
      </c>
      <c r="E518" s="1">
        <v>46387</v>
      </c>
    </row>
    <row r="519" spans="1:5" ht="30" customHeight="1" x14ac:dyDescent="0.4">
      <c r="A519" s="3">
        <v>516</v>
      </c>
      <c r="B519" s="2" t="s">
        <v>592</v>
      </c>
      <c r="C519" s="2" t="str">
        <f>"701-4223"</f>
        <v>701-4223</v>
      </c>
      <c r="D519" s="2" t="str">
        <f>"瀬戸内市邑久町豊原９２－１"</f>
        <v>瀬戸内市邑久町豊原９２－１</v>
      </c>
      <c r="E519" s="1">
        <v>46387</v>
      </c>
    </row>
    <row r="520" spans="1:5" ht="30" customHeight="1" x14ac:dyDescent="0.4">
      <c r="A520" s="3">
        <v>517</v>
      </c>
      <c r="B520" s="2" t="s">
        <v>601</v>
      </c>
      <c r="C520" s="2" t="str">
        <f>"701-4276"</f>
        <v>701-4276</v>
      </c>
      <c r="D520" s="2" t="s">
        <v>602</v>
      </c>
      <c r="E520" s="1">
        <v>46387</v>
      </c>
    </row>
    <row r="521" spans="1:5" ht="30" customHeight="1" x14ac:dyDescent="0.4">
      <c r="A521" s="3">
        <v>518</v>
      </c>
      <c r="B521" s="2" t="s">
        <v>856</v>
      </c>
      <c r="C521" s="2" t="str">
        <f>"701-4246"</f>
        <v>701-4246</v>
      </c>
      <c r="D521" s="2" t="str">
        <f>"瀬戸内市邑久町山田庄８４５－１"</f>
        <v>瀬戸内市邑久町山田庄８４５－１</v>
      </c>
      <c r="E521" s="1">
        <v>46387</v>
      </c>
    </row>
    <row r="522" spans="1:5" ht="30" customHeight="1" x14ac:dyDescent="0.4">
      <c r="A522" s="3">
        <v>519</v>
      </c>
      <c r="B522" s="2" t="s">
        <v>968</v>
      </c>
      <c r="C522" s="2" t="str">
        <f>"701-4501"</f>
        <v>701-4501</v>
      </c>
      <c r="D522" s="2" t="str">
        <f>"瀬戸内市邑久町虫明５３４－２"</f>
        <v>瀬戸内市邑久町虫明５３４－２</v>
      </c>
      <c r="E522" s="1">
        <v>46752</v>
      </c>
    </row>
    <row r="523" spans="1:5" ht="30" customHeight="1" x14ac:dyDescent="0.4">
      <c r="A523" s="3">
        <v>520</v>
      </c>
      <c r="B523" s="2" t="s">
        <v>679</v>
      </c>
      <c r="C523" s="2" t="str">
        <f>"701-4302"</f>
        <v>701-4302</v>
      </c>
      <c r="D523" s="2" t="s">
        <v>680</v>
      </c>
      <c r="E523" s="1">
        <v>46387</v>
      </c>
    </row>
    <row r="524" spans="1:5" ht="30" customHeight="1" x14ac:dyDescent="0.4">
      <c r="A524" s="3">
        <v>521</v>
      </c>
      <c r="B524" s="2" t="s">
        <v>593</v>
      </c>
      <c r="C524" s="2" t="str">
        <f>"701-4302"</f>
        <v>701-4302</v>
      </c>
      <c r="D524" s="2" t="s">
        <v>594</v>
      </c>
      <c r="E524" s="1">
        <v>46387</v>
      </c>
    </row>
    <row r="525" spans="1:5" ht="30" customHeight="1" x14ac:dyDescent="0.4">
      <c r="A525" s="3">
        <v>522</v>
      </c>
      <c r="B525" s="2" t="s">
        <v>595</v>
      </c>
      <c r="C525" s="2" t="str">
        <f>"701-4276"</f>
        <v>701-4276</v>
      </c>
      <c r="D525" s="2" t="str">
        <f>"瀬戸内市長船町服部５２２－１"</f>
        <v>瀬戸内市長船町服部５２２－１</v>
      </c>
      <c r="E525" s="1">
        <v>47483</v>
      </c>
    </row>
    <row r="526" spans="1:5" ht="30" customHeight="1" x14ac:dyDescent="0.4">
      <c r="A526" s="3">
        <v>523</v>
      </c>
      <c r="B526" s="2" t="s">
        <v>674</v>
      </c>
      <c r="C526" s="2" t="str">
        <f>"701-4231"</f>
        <v>701-4231</v>
      </c>
      <c r="D526" s="2" t="str">
        <f>"瀬戸内市邑久町大窪１３－３"</f>
        <v>瀬戸内市邑久町大窪１３－３</v>
      </c>
      <c r="E526" s="1">
        <v>46752</v>
      </c>
    </row>
    <row r="527" spans="1:5" ht="30" customHeight="1" x14ac:dyDescent="0.4">
      <c r="A527" s="3">
        <v>524</v>
      </c>
      <c r="B527" s="2" t="s">
        <v>681</v>
      </c>
      <c r="C527" s="2" t="str">
        <f>"701-4276"</f>
        <v>701-4276</v>
      </c>
      <c r="D527" s="2" t="s">
        <v>682</v>
      </c>
      <c r="E527" s="1">
        <v>46387</v>
      </c>
    </row>
    <row r="528" spans="1:5" ht="30" customHeight="1" x14ac:dyDescent="0.4">
      <c r="A528" s="3">
        <v>525</v>
      </c>
      <c r="B528" s="2" t="s">
        <v>678</v>
      </c>
      <c r="C528" s="2" t="str">
        <f>"701-4264"</f>
        <v>701-4264</v>
      </c>
      <c r="D528" s="2" t="str">
        <f>"瀬戸内市長船町土師１２１２－５"</f>
        <v>瀬戸内市長船町土師１２１２－５</v>
      </c>
      <c r="E528" s="1">
        <v>46387</v>
      </c>
    </row>
    <row r="529" spans="1:5" ht="30" customHeight="1" x14ac:dyDescent="0.4">
      <c r="A529" s="3">
        <v>526</v>
      </c>
      <c r="B529" s="2" t="s">
        <v>675</v>
      </c>
      <c r="C529" s="2" t="str">
        <f>"701-4265"</f>
        <v>701-4265</v>
      </c>
      <c r="D529" s="2" t="str">
        <f>"瀬戸内市長船町福岡１０２－１"</f>
        <v>瀬戸内市長船町福岡１０２－１</v>
      </c>
      <c r="E529" s="1">
        <v>46387</v>
      </c>
    </row>
    <row r="530" spans="1:5" ht="30" customHeight="1" x14ac:dyDescent="0.4">
      <c r="A530" s="3">
        <v>527</v>
      </c>
      <c r="B530" s="2" t="s">
        <v>599</v>
      </c>
      <c r="C530" s="2" t="str">
        <f>"701-4246"</f>
        <v>701-4246</v>
      </c>
      <c r="D530" s="2" t="str">
        <f>"瀬戸内市邑久町山田庄７５－１"</f>
        <v>瀬戸内市邑久町山田庄７５－１</v>
      </c>
      <c r="E530" s="1">
        <v>46387</v>
      </c>
    </row>
    <row r="531" spans="1:5" ht="30" customHeight="1" x14ac:dyDescent="0.4">
      <c r="A531" s="3">
        <v>528</v>
      </c>
      <c r="B531" s="2" t="s">
        <v>596</v>
      </c>
      <c r="C531" s="2" t="str">
        <f>"701-4212"</f>
        <v>701-4212</v>
      </c>
      <c r="D531" s="2" t="str">
        <f>"瀬戸内市邑久町尻海７－１"</f>
        <v>瀬戸内市邑久町尻海７－１</v>
      </c>
      <c r="E531" s="1">
        <v>46387</v>
      </c>
    </row>
    <row r="532" spans="1:5" ht="30" customHeight="1" x14ac:dyDescent="0.4">
      <c r="A532" s="3">
        <v>529</v>
      </c>
      <c r="B532" s="2" t="s">
        <v>608</v>
      </c>
      <c r="C532" s="2" t="str">
        <f>"701-4252"</f>
        <v>701-4252</v>
      </c>
      <c r="D532" s="2" t="str">
        <f>"瀬戸内市邑久町上笠加１７１－５"</f>
        <v>瀬戸内市邑久町上笠加１７１－５</v>
      </c>
      <c r="E532" s="1">
        <v>46387</v>
      </c>
    </row>
    <row r="533" spans="1:5" ht="30" customHeight="1" x14ac:dyDescent="0.4">
      <c r="A533" s="3">
        <v>530</v>
      </c>
      <c r="B533" s="2" t="s">
        <v>597</v>
      </c>
      <c r="C533" s="2" t="str">
        <f>"701-4232"</f>
        <v>701-4232</v>
      </c>
      <c r="D533" s="2" t="s">
        <v>598</v>
      </c>
      <c r="E533" s="1">
        <v>46387</v>
      </c>
    </row>
    <row r="534" spans="1:5" ht="30" customHeight="1" x14ac:dyDescent="0.4">
      <c r="A534" s="3">
        <v>531</v>
      </c>
      <c r="B534" s="2" t="s">
        <v>640</v>
      </c>
      <c r="C534" s="2" t="str">
        <f>"709-0816"</f>
        <v>709-0816</v>
      </c>
      <c r="D534" s="2" t="s">
        <v>618</v>
      </c>
      <c r="E534" s="1">
        <v>46387</v>
      </c>
    </row>
    <row r="535" spans="1:5" ht="30" customHeight="1" x14ac:dyDescent="0.4">
      <c r="A535" s="3">
        <v>532</v>
      </c>
      <c r="B535" s="2" t="s">
        <v>878</v>
      </c>
      <c r="C535" s="2" t="str">
        <f>"709-0705"</f>
        <v>709-0705</v>
      </c>
      <c r="D535" s="2" t="s">
        <v>879</v>
      </c>
      <c r="E535" s="1">
        <v>46387</v>
      </c>
    </row>
    <row r="536" spans="1:5" ht="30" customHeight="1" x14ac:dyDescent="0.4">
      <c r="A536" s="3">
        <v>533</v>
      </c>
      <c r="B536" s="2" t="s">
        <v>610</v>
      </c>
      <c r="C536" s="2" t="str">
        <f>"709-0804"</f>
        <v>709-0804</v>
      </c>
      <c r="D536" s="2" t="s">
        <v>611</v>
      </c>
      <c r="E536" s="1">
        <v>46387</v>
      </c>
    </row>
    <row r="537" spans="1:5" ht="30" customHeight="1" x14ac:dyDescent="0.4">
      <c r="A537" s="3">
        <v>534</v>
      </c>
      <c r="B537" s="2" t="s">
        <v>656</v>
      </c>
      <c r="C537" s="2" t="str">
        <f>"709-0821"</f>
        <v>709-0821</v>
      </c>
      <c r="D537" s="2" t="s">
        <v>657</v>
      </c>
      <c r="E537" s="1">
        <v>46387</v>
      </c>
    </row>
    <row r="538" spans="1:5" ht="30" customHeight="1" x14ac:dyDescent="0.4">
      <c r="A538" s="3">
        <v>535</v>
      </c>
      <c r="B538" s="2" t="s">
        <v>658</v>
      </c>
      <c r="C538" s="2" t="str">
        <f>"709-0802"</f>
        <v>709-0802</v>
      </c>
      <c r="D538" s="2" t="s">
        <v>659</v>
      </c>
      <c r="E538" s="1">
        <v>46387</v>
      </c>
    </row>
    <row r="539" spans="1:5" ht="30" customHeight="1" x14ac:dyDescent="0.4">
      <c r="A539" s="3">
        <v>536</v>
      </c>
      <c r="B539" s="2" t="s">
        <v>643</v>
      </c>
      <c r="C539" s="2" t="str">
        <f>"709-0822"</f>
        <v>709-0822</v>
      </c>
      <c r="D539" s="2" t="s">
        <v>644</v>
      </c>
      <c r="E539" s="1">
        <v>46387</v>
      </c>
    </row>
    <row r="540" spans="1:5" ht="30" customHeight="1" x14ac:dyDescent="0.4">
      <c r="A540" s="3">
        <v>537</v>
      </c>
      <c r="B540" s="2" t="s">
        <v>947</v>
      </c>
      <c r="C540" s="2" t="str">
        <f>"709-0824"</f>
        <v>709-0824</v>
      </c>
      <c r="D540" s="2" t="s">
        <v>948</v>
      </c>
      <c r="E540" s="1">
        <v>46387</v>
      </c>
    </row>
    <row r="541" spans="1:5" ht="30" customHeight="1" x14ac:dyDescent="0.4">
      <c r="A541" s="3">
        <v>538</v>
      </c>
      <c r="B541" s="2" t="s">
        <v>944</v>
      </c>
      <c r="C541" s="2" t="str">
        <f>"709-0802"</f>
        <v>709-0802</v>
      </c>
      <c r="D541" s="2" t="str">
        <f>"赤磐市桜が丘西７－１－１０"</f>
        <v>赤磐市桜が丘西７－１－１０</v>
      </c>
      <c r="E541" s="1">
        <v>47848</v>
      </c>
    </row>
    <row r="542" spans="1:5" ht="30" customHeight="1" x14ac:dyDescent="0.4">
      <c r="A542" s="3">
        <v>539</v>
      </c>
      <c r="B542" s="2" t="s">
        <v>641</v>
      </c>
      <c r="C542" s="2" t="str">
        <f>"709-0827"</f>
        <v>709-0827</v>
      </c>
      <c r="D542" s="2" t="str">
        <f>"赤磐市山陽４－１３－３"</f>
        <v>赤磐市山陽４－１３－３</v>
      </c>
      <c r="E542" s="1">
        <v>46387</v>
      </c>
    </row>
    <row r="543" spans="1:5" ht="30" customHeight="1" x14ac:dyDescent="0.4">
      <c r="A543" s="3">
        <v>540</v>
      </c>
      <c r="B543" s="2" t="s">
        <v>653</v>
      </c>
      <c r="C543" s="2" t="str">
        <f>"701-2224"</f>
        <v>701-2224</v>
      </c>
      <c r="D543" s="2" t="s">
        <v>654</v>
      </c>
      <c r="E543" s="1">
        <v>46387</v>
      </c>
    </row>
    <row r="544" spans="1:5" ht="30" customHeight="1" x14ac:dyDescent="0.4">
      <c r="A544" s="3">
        <v>541</v>
      </c>
      <c r="B544" s="2" t="s">
        <v>941</v>
      </c>
      <c r="C544" s="2" t="str">
        <f>"709-0831"</f>
        <v>709-0831</v>
      </c>
      <c r="D544" s="2" t="str">
        <f>"赤磐市五日市１０７－１"</f>
        <v>赤磐市五日市１０７－１</v>
      </c>
      <c r="E544" s="1">
        <v>47118</v>
      </c>
    </row>
    <row r="545" spans="1:5" ht="30" customHeight="1" x14ac:dyDescent="0.4">
      <c r="A545" s="3">
        <v>542</v>
      </c>
      <c r="B545" s="2" t="s">
        <v>945</v>
      </c>
      <c r="C545" s="2" t="str">
        <f>"701-2223"</f>
        <v>701-2223</v>
      </c>
      <c r="D545" s="2" t="s">
        <v>946</v>
      </c>
      <c r="E545" s="1">
        <v>46387</v>
      </c>
    </row>
    <row r="546" spans="1:5" ht="30" customHeight="1" x14ac:dyDescent="0.4">
      <c r="A546" s="3">
        <v>543</v>
      </c>
      <c r="B546" s="2" t="s">
        <v>639</v>
      </c>
      <c r="C546" s="2" t="str">
        <f>"701-2225"</f>
        <v>701-2225</v>
      </c>
      <c r="D546" s="2" t="str">
        <f>"赤磐市山口１６０－３"</f>
        <v>赤磐市山口１６０－３</v>
      </c>
      <c r="E546" s="1">
        <v>46387</v>
      </c>
    </row>
    <row r="547" spans="1:5" ht="30" customHeight="1" x14ac:dyDescent="0.4">
      <c r="A547" s="3">
        <v>544</v>
      </c>
      <c r="B547" s="2" t="s">
        <v>645</v>
      </c>
      <c r="C547" s="2" t="str">
        <f>"709-0802"</f>
        <v>709-0802</v>
      </c>
      <c r="D547" s="2" t="str">
        <f>"赤磐市桜が丘西６丁目３－１３"</f>
        <v>赤磐市桜が丘西６丁目３－１３</v>
      </c>
      <c r="E547" s="1">
        <v>46387</v>
      </c>
    </row>
    <row r="548" spans="1:5" ht="30" customHeight="1" x14ac:dyDescent="0.4">
      <c r="A548" s="3">
        <v>545</v>
      </c>
      <c r="B548" s="2" t="s">
        <v>943</v>
      </c>
      <c r="C548" s="2" t="str">
        <f>"709-0721"</f>
        <v>709-0721</v>
      </c>
      <c r="D548" s="2" t="str">
        <f>"赤磐市桜が丘東２丁目２－６７９"</f>
        <v>赤磐市桜が丘東２丁目２－６７９</v>
      </c>
      <c r="E548" s="1">
        <v>46387</v>
      </c>
    </row>
    <row r="549" spans="1:5" ht="30" customHeight="1" x14ac:dyDescent="0.4">
      <c r="A549" s="3">
        <v>546</v>
      </c>
      <c r="B549" s="2" t="s">
        <v>612</v>
      </c>
      <c r="C549" s="2" t="str">
        <f>"709-0721"</f>
        <v>709-0721</v>
      </c>
      <c r="D549" s="2" t="str">
        <f>"赤磐市桜が丘東４丁目４－４７１"</f>
        <v>赤磐市桜が丘東４丁目４－４７１</v>
      </c>
      <c r="E549" s="1">
        <v>46387</v>
      </c>
    </row>
    <row r="550" spans="1:5" ht="30" customHeight="1" x14ac:dyDescent="0.4">
      <c r="A550" s="3">
        <v>547</v>
      </c>
      <c r="B550" s="2" t="s">
        <v>652</v>
      </c>
      <c r="C550" s="2" t="str">
        <f>"709-0817"</f>
        <v>709-0817</v>
      </c>
      <c r="D550" s="2" t="str">
        <f>"赤磐市上市１４１－１"</f>
        <v>赤磐市上市１４１－１</v>
      </c>
      <c r="E550" s="1">
        <v>46387</v>
      </c>
    </row>
    <row r="551" spans="1:5" ht="30" customHeight="1" x14ac:dyDescent="0.4">
      <c r="A551" s="3">
        <v>548</v>
      </c>
      <c r="B551" s="2" t="s">
        <v>616</v>
      </c>
      <c r="C551" s="2" t="str">
        <f>"701-2435"</f>
        <v>701-2435</v>
      </c>
      <c r="D551" s="2" t="s">
        <v>617</v>
      </c>
      <c r="E551" s="1">
        <v>47483</v>
      </c>
    </row>
    <row r="552" spans="1:5" ht="30" customHeight="1" x14ac:dyDescent="0.4">
      <c r="A552" s="3">
        <v>549</v>
      </c>
      <c r="B552" s="2" t="s">
        <v>648</v>
      </c>
      <c r="C552" s="2" t="str">
        <f>"701-2222"</f>
        <v>701-2222</v>
      </c>
      <c r="D552" s="2" t="s">
        <v>649</v>
      </c>
      <c r="E552" s="1">
        <v>46387</v>
      </c>
    </row>
    <row r="553" spans="1:5" ht="30" customHeight="1" x14ac:dyDescent="0.4">
      <c r="A553" s="3">
        <v>550</v>
      </c>
      <c r="B553" s="2" t="s">
        <v>638</v>
      </c>
      <c r="C553" s="2" t="str">
        <f>"701-2215"</f>
        <v>701-2215</v>
      </c>
      <c r="D553" s="2" t="str">
        <f>"赤磐市西軽部２１１－１"</f>
        <v>赤磐市西軽部２１１－１</v>
      </c>
      <c r="E553" s="1">
        <v>46387</v>
      </c>
    </row>
    <row r="554" spans="1:5" ht="30" customHeight="1" x14ac:dyDescent="0.4">
      <c r="A554" s="3">
        <v>551</v>
      </c>
      <c r="B554" s="2" t="s">
        <v>650</v>
      </c>
      <c r="C554" s="2" t="str">
        <f>"709-0816"</f>
        <v>709-0816</v>
      </c>
      <c r="D554" s="2" t="s">
        <v>651</v>
      </c>
      <c r="E554" s="1">
        <v>46387</v>
      </c>
    </row>
    <row r="555" spans="1:5" ht="30" customHeight="1" x14ac:dyDescent="0.4">
      <c r="A555" s="3">
        <v>552</v>
      </c>
      <c r="B555" s="2" t="s">
        <v>655</v>
      </c>
      <c r="C555" s="2" t="str">
        <f>"709-0812"</f>
        <v>709-0812</v>
      </c>
      <c r="D555" s="2" t="str">
        <f>"赤磐市沼田１２６９－１"</f>
        <v>赤磐市沼田１２６９－１</v>
      </c>
      <c r="E555" s="1">
        <v>46387</v>
      </c>
    </row>
    <row r="556" spans="1:5" ht="30" customHeight="1" x14ac:dyDescent="0.4">
      <c r="A556" s="3">
        <v>553</v>
      </c>
      <c r="B556" s="2" t="s">
        <v>613</v>
      </c>
      <c r="C556" s="2" t="str">
        <f>"709-0835"</f>
        <v>709-0835</v>
      </c>
      <c r="D556" s="2" t="s">
        <v>614</v>
      </c>
      <c r="E556" s="1">
        <v>46387</v>
      </c>
    </row>
    <row r="557" spans="1:5" ht="30" customHeight="1" x14ac:dyDescent="0.4">
      <c r="A557" s="3">
        <v>554</v>
      </c>
      <c r="B557" s="2" t="s">
        <v>642</v>
      </c>
      <c r="C557" s="2" t="str">
        <f>"709-0824"</f>
        <v>709-0824</v>
      </c>
      <c r="D557" s="2" t="str">
        <f>"赤磐市穂崎８５１－１"</f>
        <v>赤磐市穂崎８５１－１</v>
      </c>
      <c r="E557" s="1">
        <v>46387</v>
      </c>
    </row>
    <row r="558" spans="1:5" ht="30" customHeight="1" x14ac:dyDescent="0.4">
      <c r="A558" s="3">
        <v>555</v>
      </c>
      <c r="B558" s="2" t="s">
        <v>615</v>
      </c>
      <c r="C558" s="2" t="str">
        <f>"701-2503"</f>
        <v>701-2503</v>
      </c>
      <c r="D558" s="2" t="str">
        <f>"赤磐市周匝７２８－１"</f>
        <v>赤磐市周匝７２８－１</v>
      </c>
      <c r="E558" s="1">
        <v>46387</v>
      </c>
    </row>
    <row r="559" spans="1:5" ht="30" customHeight="1" x14ac:dyDescent="0.4">
      <c r="A559" s="3">
        <v>556</v>
      </c>
      <c r="B559" s="2" t="s">
        <v>609</v>
      </c>
      <c r="C559" s="2" t="str">
        <f>"709-0831"</f>
        <v>709-0831</v>
      </c>
      <c r="D559" s="2" t="str">
        <f>"赤磐市五日市２４５－４"</f>
        <v>赤磐市五日市２４５－４</v>
      </c>
      <c r="E559" s="1">
        <v>46387</v>
      </c>
    </row>
    <row r="560" spans="1:5" ht="30" customHeight="1" x14ac:dyDescent="0.4">
      <c r="A560" s="3">
        <v>557</v>
      </c>
      <c r="B560" s="2" t="s">
        <v>646</v>
      </c>
      <c r="C560" s="2" t="str">
        <f>"709-0827"</f>
        <v>709-0827</v>
      </c>
      <c r="D560" s="2" t="s">
        <v>647</v>
      </c>
      <c r="E560" s="1">
        <v>46387</v>
      </c>
    </row>
    <row r="561" spans="1:5" ht="30" customHeight="1" x14ac:dyDescent="0.4">
      <c r="A561" s="3">
        <v>558</v>
      </c>
      <c r="B561" s="2" t="s">
        <v>773</v>
      </c>
      <c r="C561" s="2" t="str">
        <f>"719-3201"</f>
        <v>719-3201</v>
      </c>
      <c r="D561" s="2" t="str">
        <f>"真庭市久世２９２６－３"</f>
        <v>真庭市久世２９２６－３</v>
      </c>
      <c r="E561" s="1">
        <v>46387</v>
      </c>
    </row>
    <row r="562" spans="1:5" ht="30" customHeight="1" x14ac:dyDescent="0.4">
      <c r="A562" s="3">
        <v>559</v>
      </c>
      <c r="B562" s="2" t="s">
        <v>762</v>
      </c>
      <c r="C562" s="2" t="str">
        <f>"717-0602"</f>
        <v>717-0602</v>
      </c>
      <c r="D562" s="2" t="s">
        <v>763</v>
      </c>
      <c r="E562" s="1">
        <v>46387</v>
      </c>
    </row>
    <row r="563" spans="1:5" ht="30" customHeight="1" x14ac:dyDescent="0.4">
      <c r="A563" s="3">
        <v>560</v>
      </c>
      <c r="B563" s="2" t="s">
        <v>625</v>
      </c>
      <c r="C563" s="2" t="str">
        <f>"719-3115"</f>
        <v>719-3115</v>
      </c>
      <c r="D563" s="2" t="str">
        <f>"真庭市中４４４－７"</f>
        <v>真庭市中４４４－７</v>
      </c>
      <c r="E563" s="1">
        <v>47848</v>
      </c>
    </row>
    <row r="564" spans="1:5" ht="30" customHeight="1" x14ac:dyDescent="0.4">
      <c r="A564" s="3">
        <v>561</v>
      </c>
      <c r="B564" s="2" t="s">
        <v>628</v>
      </c>
      <c r="C564" s="2" t="str">
        <f>"719-3141"</f>
        <v>719-3141</v>
      </c>
      <c r="D564" s="2" t="s">
        <v>629</v>
      </c>
      <c r="E564" s="1">
        <v>46387</v>
      </c>
    </row>
    <row r="565" spans="1:5" ht="30" customHeight="1" x14ac:dyDescent="0.4">
      <c r="A565" s="3">
        <v>562</v>
      </c>
      <c r="B565" s="2" t="s">
        <v>1684</v>
      </c>
      <c r="C565" s="2" t="str">
        <f>"719-3122"</f>
        <v>719-3122</v>
      </c>
      <c r="D565" s="2" t="str">
        <f>"真庭市下河内３１４－２"</f>
        <v>真庭市下河内３１４－２</v>
      </c>
      <c r="E565" s="1">
        <v>47483</v>
      </c>
    </row>
    <row r="566" spans="1:5" ht="30" customHeight="1" x14ac:dyDescent="0.4">
      <c r="A566" s="3">
        <v>563</v>
      </c>
      <c r="B566" s="2" t="s">
        <v>1685</v>
      </c>
      <c r="C566" s="2" t="str">
        <f>"719-3122"</f>
        <v>719-3122</v>
      </c>
      <c r="D566" s="2" t="str">
        <f>"真庭市下河内３１４－２"</f>
        <v>真庭市下河内３１４－２</v>
      </c>
      <c r="E566" s="1">
        <v>47483</v>
      </c>
    </row>
    <row r="567" spans="1:5" ht="30" customHeight="1" x14ac:dyDescent="0.4">
      <c r="A567" s="3">
        <v>564</v>
      </c>
      <c r="B567" s="2" t="s">
        <v>1682</v>
      </c>
      <c r="C567" s="2" t="str">
        <f>"717-0007"</f>
        <v>717-0007</v>
      </c>
      <c r="D567" s="2" t="s">
        <v>1683</v>
      </c>
      <c r="E567" s="1">
        <v>46387</v>
      </c>
    </row>
    <row r="568" spans="1:5" ht="30" customHeight="1" x14ac:dyDescent="0.4">
      <c r="A568" s="3">
        <v>565</v>
      </c>
      <c r="B568" s="2" t="s">
        <v>770</v>
      </c>
      <c r="C568" s="2" t="str">
        <f>"717-0413"</f>
        <v>717-0413</v>
      </c>
      <c r="D568" s="2" t="str">
        <f>"真庭市禾津１７２－４"</f>
        <v>真庭市禾津１７２－４</v>
      </c>
      <c r="E568" s="1">
        <v>46387</v>
      </c>
    </row>
    <row r="569" spans="1:5" ht="30" customHeight="1" x14ac:dyDescent="0.4">
      <c r="A569" s="3">
        <v>566</v>
      </c>
      <c r="B569" s="2" t="s">
        <v>754</v>
      </c>
      <c r="C569" s="2" t="str">
        <f>"717-0007"</f>
        <v>717-0007</v>
      </c>
      <c r="D569" s="2" t="s">
        <v>755</v>
      </c>
      <c r="E569" s="1">
        <v>46387</v>
      </c>
    </row>
    <row r="570" spans="1:5" ht="30" customHeight="1" x14ac:dyDescent="0.4">
      <c r="A570" s="3">
        <v>567</v>
      </c>
      <c r="B570" s="2" t="s">
        <v>758</v>
      </c>
      <c r="C570" s="2" t="str">
        <f>"719-3193"</f>
        <v>719-3193</v>
      </c>
      <c r="D570" s="2" t="s">
        <v>759</v>
      </c>
      <c r="E570" s="1">
        <v>46387</v>
      </c>
    </row>
    <row r="571" spans="1:5" ht="30" customHeight="1" x14ac:dyDescent="0.4">
      <c r="A571" s="3">
        <v>568</v>
      </c>
      <c r="B571" s="2" t="s">
        <v>630</v>
      </c>
      <c r="C571" s="2" t="str">
        <f>"719-3122"</f>
        <v>719-3122</v>
      </c>
      <c r="D571" s="2" t="str">
        <f>"真庭市下河内３１４－２"</f>
        <v>真庭市下河内３１４－２</v>
      </c>
      <c r="E571" s="1">
        <v>47483</v>
      </c>
    </row>
    <row r="572" spans="1:5" ht="30" customHeight="1" x14ac:dyDescent="0.4">
      <c r="A572" s="3">
        <v>569</v>
      </c>
      <c r="B572" s="2" t="s">
        <v>756</v>
      </c>
      <c r="C572" s="2" t="str">
        <f>"719-3141"</f>
        <v>719-3141</v>
      </c>
      <c r="D572" s="2" t="s">
        <v>757</v>
      </c>
      <c r="E572" s="1">
        <v>46387</v>
      </c>
    </row>
    <row r="573" spans="1:5" ht="30" customHeight="1" x14ac:dyDescent="0.4">
      <c r="A573" s="3">
        <v>570</v>
      </c>
      <c r="B573" s="2" t="s">
        <v>871</v>
      </c>
      <c r="C573" s="2" t="str">
        <f>"717-0403"</f>
        <v>717-0403</v>
      </c>
      <c r="D573" s="2" t="s">
        <v>872</v>
      </c>
      <c r="E573" s="1">
        <v>46387</v>
      </c>
    </row>
    <row r="574" spans="1:5" ht="30" customHeight="1" x14ac:dyDescent="0.4">
      <c r="A574" s="3">
        <v>571</v>
      </c>
      <c r="B574" s="2" t="s">
        <v>743</v>
      </c>
      <c r="C574" s="2" t="str">
        <f>"716-1433"</f>
        <v>716-1433</v>
      </c>
      <c r="D574" s="2" t="s">
        <v>744</v>
      </c>
      <c r="E574" s="1">
        <v>46387</v>
      </c>
    </row>
    <row r="575" spans="1:5" ht="30" customHeight="1" x14ac:dyDescent="0.4">
      <c r="A575" s="3">
        <v>572</v>
      </c>
      <c r="B575" s="2" t="s">
        <v>619</v>
      </c>
      <c r="C575" s="2" t="str">
        <f>"717-0013"</f>
        <v>717-0013</v>
      </c>
      <c r="D575" s="2" t="s">
        <v>620</v>
      </c>
      <c r="E575" s="1">
        <v>47118</v>
      </c>
    </row>
    <row r="576" spans="1:5" ht="30" customHeight="1" x14ac:dyDescent="0.4">
      <c r="A576" s="3">
        <v>573</v>
      </c>
      <c r="B576" s="2" t="s">
        <v>774</v>
      </c>
      <c r="C576" s="2" t="str">
        <f>"719-3155"</f>
        <v>719-3155</v>
      </c>
      <c r="D576" s="2" t="str">
        <f>"真庭市下方５８３－１"</f>
        <v>真庭市下方５８３－１</v>
      </c>
      <c r="E576" s="1">
        <v>46387</v>
      </c>
    </row>
    <row r="577" spans="1:5" ht="30" customHeight="1" x14ac:dyDescent="0.4">
      <c r="A577" s="3">
        <v>574</v>
      </c>
      <c r="B577" s="2" t="s">
        <v>962</v>
      </c>
      <c r="C577" s="2" t="str">
        <f>"716-1403"</f>
        <v>716-1403</v>
      </c>
      <c r="D577" s="2" t="str">
        <f>"真庭市宮地1336-4"</f>
        <v>真庭市宮地1336-4</v>
      </c>
      <c r="E577" s="1">
        <v>47118</v>
      </c>
    </row>
    <row r="578" spans="1:5" ht="30" customHeight="1" x14ac:dyDescent="0.4">
      <c r="A578" s="3">
        <v>575</v>
      </c>
      <c r="B578" s="2" t="s">
        <v>766</v>
      </c>
      <c r="C578" s="2" t="str">
        <f>"719-3117"</f>
        <v>719-3117</v>
      </c>
      <c r="D578" s="2" t="s">
        <v>767</v>
      </c>
      <c r="E578" s="1">
        <v>46387</v>
      </c>
    </row>
    <row r="579" spans="1:5" ht="30" customHeight="1" x14ac:dyDescent="0.4">
      <c r="A579" s="3">
        <v>576</v>
      </c>
      <c r="B579" s="2" t="s">
        <v>750</v>
      </c>
      <c r="C579" s="2" t="str">
        <f>"717-0501"</f>
        <v>717-0501</v>
      </c>
      <c r="D579" s="2" t="s">
        <v>751</v>
      </c>
      <c r="E579" s="1">
        <v>46387</v>
      </c>
    </row>
    <row r="580" spans="1:5" ht="30" customHeight="1" x14ac:dyDescent="0.4">
      <c r="A580" s="3">
        <v>577</v>
      </c>
      <c r="B580" s="2" t="s">
        <v>771</v>
      </c>
      <c r="C580" s="2" t="str">
        <f>"717-0013"</f>
        <v>717-0013</v>
      </c>
      <c r="D580" s="2" t="s">
        <v>772</v>
      </c>
      <c r="E580" s="1">
        <v>46387</v>
      </c>
    </row>
    <row r="581" spans="1:5" ht="30" customHeight="1" x14ac:dyDescent="0.4">
      <c r="A581" s="3">
        <v>578</v>
      </c>
      <c r="B581" s="2" t="s">
        <v>624</v>
      </c>
      <c r="C581" s="2" t="str">
        <f>"719-3155"</f>
        <v>719-3155</v>
      </c>
      <c r="D581" s="2" t="str">
        <f>"真庭市下方１２２６－１"</f>
        <v>真庭市下方１２２６－１</v>
      </c>
      <c r="E581" s="1">
        <v>47118</v>
      </c>
    </row>
    <row r="582" spans="1:5" ht="30" customHeight="1" x14ac:dyDescent="0.4">
      <c r="A582" s="3">
        <v>579</v>
      </c>
      <c r="B582" s="2" t="s">
        <v>752</v>
      </c>
      <c r="C582" s="2" t="str">
        <f>"719-3201"</f>
        <v>719-3201</v>
      </c>
      <c r="D582" s="2" t="s">
        <v>753</v>
      </c>
      <c r="E582" s="1">
        <v>46387</v>
      </c>
    </row>
    <row r="583" spans="1:5" ht="30" customHeight="1" x14ac:dyDescent="0.4">
      <c r="A583" s="3">
        <v>580</v>
      </c>
      <c r="B583" s="2" t="s">
        <v>622</v>
      </c>
      <c r="C583" s="2" t="str">
        <f>"719-3201"</f>
        <v>719-3201</v>
      </c>
      <c r="D583" s="2" t="str">
        <f>"真庭市久世２３９９－１"</f>
        <v>真庭市久世２３９９－１</v>
      </c>
      <c r="E583" s="1">
        <v>46387</v>
      </c>
    </row>
    <row r="584" spans="1:5" ht="30" customHeight="1" x14ac:dyDescent="0.4">
      <c r="A584" s="3">
        <v>581</v>
      </c>
      <c r="B584" s="2" t="s">
        <v>621</v>
      </c>
      <c r="C584" s="2" t="str">
        <f>"716-1421"</f>
        <v>716-1421</v>
      </c>
      <c r="D584" s="2" t="str">
        <f>"真庭市下中津井773-9"</f>
        <v>真庭市下中津井773-9</v>
      </c>
      <c r="E584" s="1">
        <v>46387</v>
      </c>
    </row>
    <row r="585" spans="1:5" ht="30" customHeight="1" x14ac:dyDescent="0.4">
      <c r="A585" s="3">
        <v>582</v>
      </c>
      <c r="B585" s="2" t="s">
        <v>768</v>
      </c>
      <c r="C585" s="2" t="str">
        <f>"719-3202"</f>
        <v>719-3202</v>
      </c>
      <c r="D585" s="2" t="s">
        <v>769</v>
      </c>
      <c r="E585" s="1">
        <v>46387</v>
      </c>
    </row>
    <row r="586" spans="1:5" ht="30" customHeight="1" x14ac:dyDescent="0.4">
      <c r="A586" s="3">
        <v>583</v>
      </c>
      <c r="B586" s="2" t="s">
        <v>777</v>
      </c>
      <c r="C586" s="2" t="str">
        <f>"719-3201"</f>
        <v>719-3201</v>
      </c>
      <c r="D586" s="2" t="str">
        <f>"真庭市久世２４３３－１"</f>
        <v>真庭市久世２４３３－１</v>
      </c>
      <c r="E586" s="1">
        <v>46387</v>
      </c>
    </row>
    <row r="587" spans="1:5" ht="30" customHeight="1" x14ac:dyDescent="0.4">
      <c r="A587" s="3">
        <v>584</v>
      </c>
      <c r="B587" s="2" t="s">
        <v>764</v>
      </c>
      <c r="C587" s="2" t="str">
        <f>"719-3201"</f>
        <v>719-3201</v>
      </c>
      <c r="D587" s="2" t="s">
        <v>765</v>
      </c>
      <c r="E587" s="1">
        <v>46387</v>
      </c>
    </row>
    <row r="588" spans="1:5" ht="30" customHeight="1" x14ac:dyDescent="0.4">
      <c r="A588" s="3">
        <v>585</v>
      </c>
      <c r="B588" s="2" t="s">
        <v>775</v>
      </c>
      <c r="C588" s="2" t="str">
        <f>"719-3224"</f>
        <v>719-3224</v>
      </c>
      <c r="D588" s="2" t="s">
        <v>776</v>
      </c>
      <c r="E588" s="1">
        <v>46387</v>
      </c>
    </row>
    <row r="589" spans="1:5" ht="30" customHeight="1" x14ac:dyDescent="0.4">
      <c r="A589" s="3">
        <v>586</v>
      </c>
      <c r="B589" s="2" t="s">
        <v>760</v>
      </c>
      <c r="C589" s="2" t="str">
        <f>"717-0024"</f>
        <v>717-0024</v>
      </c>
      <c r="D589" s="2" t="s">
        <v>761</v>
      </c>
      <c r="E589" s="1">
        <v>46387</v>
      </c>
    </row>
    <row r="590" spans="1:5" ht="30" customHeight="1" x14ac:dyDescent="0.4">
      <c r="A590" s="3">
        <v>587</v>
      </c>
      <c r="B590" s="2" t="s">
        <v>623</v>
      </c>
      <c r="C590" s="2" t="str">
        <f>"719-3204"</f>
        <v>719-3204</v>
      </c>
      <c r="D590" s="2" t="str">
        <f>"真庭市惣１９５－５"</f>
        <v>真庭市惣１９５－５</v>
      </c>
      <c r="E590" s="1">
        <v>48213</v>
      </c>
    </row>
    <row r="591" spans="1:5" ht="30" customHeight="1" x14ac:dyDescent="0.4">
      <c r="A591" s="3">
        <v>588</v>
      </c>
      <c r="B591" s="2" t="s">
        <v>964</v>
      </c>
      <c r="C591" s="2" t="str">
        <f>"719-3201"</f>
        <v>719-3201</v>
      </c>
      <c r="D591" s="2" t="str">
        <f>"真庭市久世２６１８－１"</f>
        <v>真庭市久世２６１８－１</v>
      </c>
      <c r="E591" s="1">
        <v>46387</v>
      </c>
    </row>
    <row r="592" spans="1:5" ht="30" customHeight="1" x14ac:dyDescent="0.4">
      <c r="A592" s="3">
        <v>589</v>
      </c>
      <c r="B592" s="2" t="s">
        <v>963</v>
      </c>
      <c r="C592" s="2" t="str">
        <f>"717-0406"</f>
        <v>717-0406</v>
      </c>
      <c r="D592" s="2" t="str">
        <f>"真庭市豊栄９９２－２"</f>
        <v>真庭市豊栄９９２－２</v>
      </c>
      <c r="E592" s="1">
        <v>46387</v>
      </c>
    </row>
    <row r="593" spans="1:5" ht="30" customHeight="1" x14ac:dyDescent="0.4">
      <c r="A593" s="3">
        <v>590</v>
      </c>
      <c r="B593" s="2" t="s">
        <v>741</v>
      </c>
      <c r="C593" s="2" t="str">
        <f>"716-1402"</f>
        <v>716-1402</v>
      </c>
      <c r="D593" s="2" t="s">
        <v>742</v>
      </c>
      <c r="E593" s="1">
        <v>46387</v>
      </c>
    </row>
    <row r="594" spans="1:5" ht="30" customHeight="1" x14ac:dyDescent="0.4">
      <c r="A594" s="3">
        <v>591</v>
      </c>
      <c r="B594" s="2" t="s">
        <v>626</v>
      </c>
      <c r="C594" s="2" t="str">
        <f>"717-0013"</f>
        <v>717-0013</v>
      </c>
      <c r="D594" s="2" t="s">
        <v>627</v>
      </c>
      <c r="E594" s="1">
        <v>48213</v>
      </c>
    </row>
    <row r="595" spans="1:5" ht="30" customHeight="1" x14ac:dyDescent="0.4">
      <c r="A595" s="3">
        <v>592</v>
      </c>
      <c r="B595" s="2" t="s">
        <v>803</v>
      </c>
      <c r="C595" s="2" t="str">
        <f>"707-0025"</f>
        <v>707-0025</v>
      </c>
      <c r="D595" s="2" t="str">
        <f>"美作市栄町４０－８"</f>
        <v>美作市栄町４０－８</v>
      </c>
      <c r="E595" s="1">
        <v>46387</v>
      </c>
    </row>
    <row r="596" spans="1:5" ht="30" customHeight="1" x14ac:dyDescent="0.4">
      <c r="A596" s="3">
        <v>593</v>
      </c>
      <c r="B596" s="2" t="s">
        <v>1686</v>
      </c>
      <c r="C596" s="2" t="str">
        <f>"707-0003"</f>
        <v>707-0003</v>
      </c>
      <c r="D596" s="2" t="s">
        <v>805</v>
      </c>
      <c r="E596" s="1">
        <v>47848</v>
      </c>
    </row>
    <row r="597" spans="1:5" ht="30" customHeight="1" x14ac:dyDescent="0.4">
      <c r="A597" s="3">
        <v>594</v>
      </c>
      <c r="B597" s="2" t="s">
        <v>632</v>
      </c>
      <c r="C597" s="2" t="str">
        <f>"709-4234"</f>
        <v>709-4234</v>
      </c>
      <c r="D597" s="2" t="str">
        <f>"美作市江見４８１－１"</f>
        <v>美作市江見４８１－１</v>
      </c>
      <c r="E597" s="1">
        <v>46387</v>
      </c>
    </row>
    <row r="598" spans="1:5" ht="30" customHeight="1" x14ac:dyDescent="0.4">
      <c r="A598" s="3">
        <v>595</v>
      </c>
      <c r="B598" s="2" t="s">
        <v>802</v>
      </c>
      <c r="C598" s="2" t="str">
        <f>"707-0025"</f>
        <v>707-0025</v>
      </c>
      <c r="D598" s="2" t="str">
        <f>"美作市栄町７５－１"</f>
        <v>美作市栄町７５－１</v>
      </c>
      <c r="E598" s="1">
        <v>48213</v>
      </c>
    </row>
    <row r="599" spans="1:5" ht="30" customHeight="1" x14ac:dyDescent="0.4">
      <c r="A599" s="3">
        <v>596</v>
      </c>
      <c r="B599" s="2" t="s">
        <v>800</v>
      </c>
      <c r="C599" s="2" t="str">
        <f>"707-0004"</f>
        <v>707-0004</v>
      </c>
      <c r="D599" s="2" t="str">
        <f>"美作市入田２２５－１"</f>
        <v>美作市入田２２５－１</v>
      </c>
      <c r="E599" s="1">
        <v>46387</v>
      </c>
    </row>
    <row r="600" spans="1:5" ht="30" customHeight="1" x14ac:dyDescent="0.4">
      <c r="A600" s="3">
        <v>597</v>
      </c>
      <c r="B600" s="2" t="s">
        <v>798</v>
      </c>
      <c r="C600" s="2" t="str">
        <f>"707-0003"</f>
        <v>707-0003</v>
      </c>
      <c r="D600" s="2" t="s">
        <v>799</v>
      </c>
      <c r="E600" s="1">
        <v>46387</v>
      </c>
    </row>
    <row r="601" spans="1:5" ht="30" customHeight="1" x14ac:dyDescent="0.4">
      <c r="A601" s="3">
        <v>598</v>
      </c>
      <c r="B601" s="2" t="s">
        <v>801</v>
      </c>
      <c r="C601" s="2" t="str">
        <f>"707-0015"</f>
        <v>707-0015</v>
      </c>
      <c r="D601" s="2" t="str">
        <f>"美作市豊国原３６３－２"</f>
        <v>美作市豊国原３６３－２</v>
      </c>
      <c r="E601" s="1">
        <v>46387</v>
      </c>
    </row>
    <row r="602" spans="1:5" ht="30" customHeight="1" x14ac:dyDescent="0.4">
      <c r="A602" s="3">
        <v>599</v>
      </c>
      <c r="B602" s="2" t="s">
        <v>491</v>
      </c>
      <c r="C602" s="2" t="str">
        <f>"709-4214"</f>
        <v>709-4214</v>
      </c>
      <c r="D602" s="2" t="str">
        <f>"美作市豆田５０－３"</f>
        <v>美作市豆田５０－３</v>
      </c>
      <c r="E602" s="1">
        <v>46387</v>
      </c>
    </row>
    <row r="603" spans="1:5" ht="30" customHeight="1" x14ac:dyDescent="0.4">
      <c r="A603" s="3">
        <v>600</v>
      </c>
      <c r="B603" s="2" t="s">
        <v>633</v>
      </c>
      <c r="C603" s="2" t="str">
        <f>"707-0062"</f>
        <v>707-0062</v>
      </c>
      <c r="D603" s="2" t="s">
        <v>634</v>
      </c>
      <c r="E603" s="1">
        <v>46387</v>
      </c>
    </row>
    <row r="604" spans="1:5" ht="30" customHeight="1" x14ac:dyDescent="0.4">
      <c r="A604" s="3">
        <v>601</v>
      </c>
      <c r="B604" s="2" t="s">
        <v>631</v>
      </c>
      <c r="C604" s="2" t="str">
        <f>"707-0113"</f>
        <v>707-0113</v>
      </c>
      <c r="D604" s="2" t="str">
        <f>"美作市真加部５４－１"</f>
        <v>美作市真加部５４－１</v>
      </c>
      <c r="E604" s="1">
        <v>48213</v>
      </c>
    </row>
    <row r="605" spans="1:5" ht="30" customHeight="1" x14ac:dyDescent="0.4">
      <c r="A605" s="3">
        <v>602</v>
      </c>
      <c r="B605" s="2" t="s">
        <v>631</v>
      </c>
      <c r="C605" s="2" t="str">
        <f>"707-0113"</f>
        <v>707-0113</v>
      </c>
      <c r="D605" s="2" t="str">
        <f>"美作市真加部５４－１"</f>
        <v>美作市真加部５４－１</v>
      </c>
      <c r="E605" s="1">
        <v>46387</v>
      </c>
    </row>
    <row r="606" spans="1:5" ht="30" customHeight="1" x14ac:dyDescent="0.4">
      <c r="A606" s="3">
        <v>603</v>
      </c>
      <c r="B606" s="2" t="s">
        <v>868</v>
      </c>
      <c r="C606" s="2" t="str">
        <f>"701-2615"</f>
        <v>701-2615</v>
      </c>
      <c r="D606" s="2" t="str">
        <f>"美作市中川１６７５－６"</f>
        <v>美作市中川１６７５－６</v>
      </c>
      <c r="E606" s="1">
        <v>46387</v>
      </c>
    </row>
    <row r="607" spans="1:5" ht="30" customHeight="1" x14ac:dyDescent="0.4">
      <c r="A607" s="3">
        <v>604</v>
      </c>
      <c r="B607" s="2" t="s">
        <v>867</v>
      </c>
      <c r="C607" s="2" t="str">
        <f>"709-4203"</f>
        <v>709-4203</v>
      </c>
      <c r="D607" s="2" t="str">
        <f>"美作市小野２５６５－１"</f>
        <v>美作市小野２５６５－１</v>
      </c>
      <c r="E607" s="1">
        <v>46387</v>
      </c>
    </row>
    <row r="608" spans="1:5" ht="30" customHeight="1" x14ac:dyDescent="0.4">
      <c r="A608" s="3">
        <v>605</v>
      </c>
      <c r="B608" s="2" t="s">
        <v>869</v>
      </c>
      <c r="C608" s="2" t="str">
        <f>"707-0412"</f>
        <v>707-0412</v>
      </c>
      <c r="D608" s="2" t="s">
        <v>870</v>
      </c>
      <c r="E608" s="1">
        <v>46387</v>
      </c>
    </row>
    <row r="609" spans="1:5" ht="30" customHeight="1" x14ac:dyDescent="0.4">
      <c r="A609" s="3">
        <v>606</v>
      </c>
      <c r="B609" s="2" t="s">
        <v>875</v>
      </c>
      <c r="C609" s="2" t="str">
        <f>"707-0201"</f>
        <v>707-0201</v>
      </c>
      <c r="D609" s="2" t="s">
        <v>876</v>
      </c>
      <c r="E609" s="1">
        <v>46387</v>
      </c>
    </row>
    <row r="610" spans="1:5" ht="30" customHeight="1" x14ac:dyDescent="0.4">
      <c r="A610" s="3">
        <v>607</v>
      </c>
      <c r="B610" s="2" t="s">
        <v>865</v>
      </c>
      <c r="C610" s="2" t="str">
        <f>"709-4234"</f>
        <v>709-4234</v>
      </c>
      <c r="D610" s="2" t="s">
        <v>866</v>
      </c>
      <c r="E610" s="1">
        <v>46387</v>
      </c>
    </row>
    <row r="611" spans="1:5" ht="30" customHeight="1" x14ac:dyDescent="0.4">
      <c r="A611" s="3">
        <v>608</v>
      </c>
      <c r="B611" s="2" t="s">
        <v>877</v>
      </c>
      <c r="C611" s="2" t="str">
        <f>"709-4254"</f>
        <v>709-4254</v>
      </c>
      <c r="D611" s="2" t="str">
        <f>"美作市万善２４－１"</f>
        <v>美作市万善２４－１</v>
      </c>
      <c r="E611" s="1">
        <v>46387</v>
      </c>
    </row>
    <row r="612" spans="1:5" ht="30" customHeight="1" x14ac:dyDescent="0.4">
      <c r="A612" s="3">
        <v>609</v>
      </c>
      <c r="B612" s="2" t="s">
        <v>804</v>
      </c>
      <c r="C612" s="2" t="str">
        <f>"707-0003"</f>
        <v>707-0003</v>
      </c>
      <c r="D612" s="2" t="s">
        <v>805</v>
      </c>
      <c r="E612" s="1">
        <v>46387</v>
      </c>
    </row>
    <row r="613" spans="1:5" ht="30" customHeight="1" x14ac:dyDescent="0.4">
      <c r="A613" s="3">
        <v>610</v>
      </c>
      <c r="B613" s="2" t="s">
        <v>797</v>
      </c>
      <c r="C613" s="2" t="str">
        <f>"707-0062"</f>
        <v>707-0062</v>
      </c>
      <c r="D613" s="2" t="str">
        <f>"美作市湯郷８１５－６"</f>
        <v>美作市湯郷８１５－６</v>
      </c>
      <c r="E613" s="1">
        <v>46387</v>
      </c>
    </row>
    <row r="614" spans="1:5" ht="30" customHeight="1" x14ac:dyDescent="0.4">
      <c r="A614" s="3">
        <v>611</v>
      </c>
      <c r="B614" s="2" t="s">
        <v>635</v>
      </c>
      <c r="C614" s="2" t="str">
        <f>"719-0243"</f>
        <v>719-0243</v>
      </c>
      <c r="D614" s="2" t="str">
        <f>"浅口市鴨方町鴨方１０８１－１"</f>
        <v>浅口市鴨方町鴨方１０８１－１</v>
      </c>
      <c r="E614" s="1">
        <v>46387</v>
      </c>
    </row>
    <row r="615" spans="1:5" ht="30" customHeight="1" x14ac:dyDescent="0.4">
      <c r="A615" s="3">
        <v>612</v>
      </c>
      <c r="B615" s="2" t="s">
        <v>714</v>
      </c>
      <c r="C615" s="2" t="str">
        <f>"719-0244"</f>
        <v>719-0244</v>
      </c>
      <c r="D615" s="2" t="str">
        <f>"浅口市鴨方町深田９９１－１"</f>
        <v>浅口市鴨方町深田９９１－１</v>
      </c>
      <c r="E615" s="1">
        <v>46387</v>
      </c>
    </row>
    <row r="616" spans="1:5" ht="30" customHeight="1" x14ac:dyDescent="0.4">
      <c r="A616" s="3">
        <v>613</v>
      </c>
      <c r="B616" s="2" t="s">
        <v>699</v>
      </c>
      <c r="C616" s="2" t="str">
        <f>"719-0252"</f>
        <v>719-0252</v>
      </c>
      <c r="D616" s="2" t="s">
        <v>700</v>
      </c>
      <c r="E616" s="1">
        <v>46387</v>
      </c>
    </row>
    <row r="617" spans="1:5" ht="30" customHeight="1" x14ac:dyDescent="0.4">
      <c r="A617" s="3">
        <v>614</v>
      </c>
      <c r="B617" s="2" t="s">
        <v>957</v>
      </c>
      <c r="C617" s="2" t="str">
        <f>"719-0243"</f>
        <v>719-0243</v>
      </c>
      <c r="D617" s="2" t="str">
        <f>"浅口市鴨方町鴨方２０７８－１１"</f>
        <v>浅口市鴨方町鴨方２０７８－１１</v>
      </c>
      <c r="E617" s="1">
        <v>47118</v>
      </c>
    </row>
    <row r="618" spans="1:5" ht="30" customHeight="1" x14ac:dyDescent="0.4">
      <c r="A618" s="3">
        <v>615</v>
      </c>
      <c r="B618" s="2" t="s">
        <v>696</v>
      </c>
      <c r="C618" s="2" t="str">
        <f>"719-0104"</f>
        <v>719-0104</v>
      </c>
      <c r="D618" s="2" t="s">
        <v>697</v>
      </c>
      <c r="E618" s="1">
        <v>46387</v>
      </c>
    </row>
    <row r="619" spans="1:5" ht="30" customHeight="1" x14ac:dyDescent="0.4">
      <c r="A619" s="3">
        <v>616</v>
      </c>
      <c r="B619" s="2" t="s">
        <v>958</v>
      </c>
      <c r="C619" s="2" t="str">
        <f>"719-0252"</f>
        <v>719-0252</v>
      </c>
      <c r="D619" s="2" t="str">
        <f>"浅口市鴨方町六条院中２３０１－１"</f>
        <v>浅口市鴨方町六条院中２３０１－１</v>
      </c>
      <c r="E619" s="1">
        <v>46387</v>
      </c>
    </row>
    <row r="620" spans="1:5" ht="30" customHeight="1" x14ac:dyDescent="0.4">
      <c r="A620" s="3">
        <v>617</v>
      </c>
      <c r="B620" s="2" t="s">
        <v>693</v>
      </c>
      <c r="C620" s="2" t="str">
        <f>"714-0101"</f>
        <v>714-0101</v>
      </c>
      <c r="D620" s="2" t="s">
        <v>694</v>
      </c>
      <c r="E620" s="1">
        <v>46387</v>
      </c>
    </row>
    <row r="621" spans="1:5" ht="30" customHeight="1" x14ac:dyDescent="0.4">
      <c r="A621" s="3">
        <v>618</v>
      </c>
      <c r="B621" s="2" t="s">
        <v>695</v>
      </c>
      <c r="C621" s="2" t="str">
        <f>"719-0243"</f>
        <v>719-0243</v>
      </c>
      <c r="D621" s="2" t="str">
        <f>"浅口市鴨方町鴨方２２１０－１"</f>
        <v>浅口市鴨方町鴨方２２１０－１</v>
      </c>
      <c r="E621" s="1">
        <v>46387</v>
      </c>
    </row>
    <row r="622" spans="1:5" ht="30" customHeight="1" x14ac:dyDescent="0.4">
      <c r="A622" s="3">
        <v>619</v>
      </c>
      <c r="B622" s="2" t="s">
        <v>701</v>
      </c>
      <c r="C622" s="2" t="str">
        <f>"719-0252"</f>
        <v>719-0252</v>
      </c>
      <c r="D622" s="2" t="str">
        <f>"浅口市鴨方町六条院中３２３５－１"</f>
        <v>浅口市鴨方町六条院中３２３５－１</v>
      </c>
      <c r="E622" s="1">
        <v>46387</v>
      </c>
    </row>
    <row r="623" spans="1:5" ht="30" customHeight="1" x14ac:dyDescent="0.4">
      <c r="A623" s="3">
        <v>620</v>
      </c>
      <c r="B623" s="2" t="s">
        <v>702</v>
      </c>
      <c r="C623" s="2" t="str">
        <f>"719-0243"</f>
        <v>719-0243</v>
      </c>
      <c r="D623" s="2" t="str">
        <f>"浅口市鴨方町鴨方１８３７－１"</f>
        <v>浅口市鴨方町鴨方１８３７－１</v>
      </c>
      <c r="E623" s="1">
        <v>46387</v>
      </c>
    </row>
    <row r="624" spans="1:5" ht="30" customHeight="1" x14ac:dyDescent="0.4">
      <c r="A624" s="3">
        <v>621</v>
      </c>
      <c r="B624" s="2" t="s">
        <v>716</v>
      </c>
      <c r="C624" s="2" t="str">
        <f>"719-0243"</f>
        <v>719-0243</v>
      </c>
      <c r="D624" s="2" t="str">
        <f>"浅口市鴨方町鴨方１６４５－１"</f>
        <v>浅口市鴨方町鴨方１６４５－１</v>
      </c>
      <c r="E624" s="1">
        <v>46387</v>
      </c>
    </row>
    <row r="625" spans="1:5" ht="30" customHeight="1" x14ac:dyDescent="0.4">
      <c r="A625" s="3">
        <v>622</v>
      </c>
      <c r="B625" s="2" t="s">
        <v>706</v>
      </c>
      <c r="C625" s="2" t="str">
        <f>"714-0101"</f>
        <v>714-0101</v>
      </c>
      <c r="D625" s="2" t="s">
        <v>268</v>
      </c>
      <c r="E625" s="1">
        <v>46387</v>
      </c>
    </row>
    <row r="626" spans="1:5" ht="30" customHeight="1" x14ac:dyDescent="0.4">
      <c r="A626" s="3">
        <v>623</v>
      </c>
      <c r="B626" s="2" t="s">
        <v>942</v>
      </c>
      <c r="C626" s="2" t="str">
        <f>"719-0104"</f>
        <v>719-0104</v>
      </c>
      <c r="D626" s="2" t="str">
        <f>"浅口市金光町占見新田７２１－１"</f>
        <v>浅口市金光町占見新田７２１－１</v>
      </c>
      <c r="E626" s="1">
        <v>46387</v>
      </c>
    </row>
    <row r="627" spans="1:5" ht="30" customHeight="1" x14ac:dyDescent="0.4">
      <c r="A627" s="3">
        <v>624</v>
      </c>
      <c r="B627" s="2" t="s">
        <v>709</v>
      </c>
      <c r="C627" s="2" t="str">
        <f>"719-0104"</f>
        <v>719-0104</v>
      </c>
      <c r="D627" s="2" t="s">
        <v>710</v>
      </c>
      <c r="E627" s="1">
        <v>46387</v>
      </c>
    </row>
    <row r="628" spans="1:5" ht="30" customHeight="1" x14ac:dyDescent="0.4">
      <c r="A628" s="3">
        <v>625</v>
      </c>
      <c r="B628" s="2" t="s">
        <v>707</v>
      </c>
      <c r="C628" s="2" t="str">
        <f>"719-0113"</f>
        <v>719-0113</v>
      </c>
      <c r="D628" s="2" t="s">
        <v>708</v>
      </c>
      <c r="E628" s="1">
        <v>46387</v>
      </c>
    </row>
    <row r="629" spans="1:5" ht="30" customHeight="1" x14ac:dyDescent="0.4">
      <c r="A629" s="3">
        <v>626</v>
      </c>
      <c r="B629" s="2" t="s">
        <v>711</v>
      </c>
      <c r="C629" s="2" t="str">
        <f>"714-0101"</f>
        <v>714-0101</v>
      </c>
      <c r="D629" s="2" t="str">
        <f>"浅口市寄島町７５４３－１１"</f>
        <v>浅口市寄島町７５４３－１１</v>
      </c>
      <c r="E629" s="1">
        <v>46387</v>
      </c>
    </row>
    <row r="630" spans="1:5" ht="30" customHeight="1" x14ac:dyDescent="0.4">
      <c r="A630" s="3">
        <v>627</v>
      </c>
      <c r="B630" s="2" t="s">
        <v>660</v>
      </c>
      <c r="C630" s="2" t="str">
        <f>"709-0414"</f>
        <v>709-0414</v>
      </c>
      <c r="D630" s="2" t="str">
        <f>"和気郡和気町大田原３２１－１"</f>
        <v>和気郡和気町大田原３２１－１</v>
      </c>
      <c r="E630" s="1">
        <v>46752</v>
      </c>
    </row>
    <row r="631" spans="1:5" ht="30" customHeight="1" x14ac:dyDescent="0.4">
      <c r="A631" s="3">
        <v>628</v>
      </c>
      <c r="B631" s="2" t="s">
        <v>950</v>
      </c>
      <c r="C631" s="2" t="str">
        <f>"709-0521"</f>
        <v>709-0521</v>
      </c>
      <c r="D631" s="2" t="s">
        <v>951</v>
      </c>
      <c r="E631" s="1">
        <v>47483</v>
      </c>
    </row>
    <row r="632" spans="1:5" ht="30" customHeight="1" x14ac:dyDescent="0.4">
      <c r="A632" s="3">
        <v>629</v>
      </c>
      <c r="B632" s="2" t="s">
        <v>662</v>
      </c>
      <c r="C632" s="2" t="str">
        <f>"709-0451"</f>
        <v>709-0451</v>
      </c>
      <c r="D632" s="2" t="s">
        <v>663</v>
      </c>
      <c r="E632" s="1">
        <v>46387</v>
      </c>
    </row>
    <row r="633" spans="1:5" ht="30" customHeight="1" x14ac:dyDescent="0.4">
      <c r="A633" s="3">
        <v>630</v>
      </c>
      <c r="B633" s="2" t="s">
        <v>1679</v>
      </c>
      <c r="C633" s="2" t="str">
        <f>"709-0497"</f>
        <v>709-0497</v>
      </c>
      <c r="D633" s="2" t="s">
        <v>663</v>
      </c>
      <c r="E633" s="1">
        <v>47848</v>
      </c>
    </row>
    <row r="634" spans="1:5" ht="30" customHeight="1" x14ac:dyDescent="0.4">
      <c r="A634" s="3">
        <v>631</v>
      </c>
      <c r="B634" s="2" t="s">
        <v>840</v>
      </c>
      <c r="C634" s="2" t="str">
        <f>"709-0402"</f>
        <v>709-0402</v>
      </c>
      <c r="D634" s="2" t="s">
        <v>841</v>
      </c>
      <c r="E634" s="1">
        <v>46387</v>
      </c>
    </row>
    <row r="635" spans="1:5" ht="30" customHeight="1" x14ac:dyDescent="0.4">
      <c r="A635" s="3">
        <v>632</v>
      </c>
      <c r="B635" s="2" t="s">
        <v>669</v>
      </c>
      <c r="C635" s="2" t="str">
        <f>"709-0451"</f>
        <v>709-0451</v>
      </c>
      <c r="D635" s="2" t="s">
        <v>670</v>
      </c>
      <c r="E635" s="1">
        <v>46387</v>
      </c>
    </row>
    <row r="636" spans="1:5" ht="30" customHeight="1" x14ac:dyDescent="0.4">
      <c r="A636" s="3">
        <v>633</v>
      </c>
      <c r="B636" s="2" t="s">
        <v>667</v>
      </c>
      <c r="C636" s="2" t="str">
        <f>"709-0521"</f>
        <v>709-0521</v>
      </c>
      <c r="D636" s="2" t="s">
        <v>668</v>
      </c>
      <c r="E636" s="1">
        <v>46387</v>
      </c>
    </row>
    <row r="637" spans="1:5" ht="30" customHeight="1" x14ac:dyDescent="0.4">
      <c r="A637" s="3">
        <v>634</v>
      </c>
      <c r="B637" s="2" t="s">
        <v>664</v>
      </c>
      <c r="C637" s="2" t="str">
        <f>"709-0498"</f>
        <v>709-0498</v>
      </c>
      <c r="D637" s="2" t="s">
        <v>665</v>
      </c>
      <c r="E637" s="1">
        <v>46387</v>
      </c>
    </row>
    <row r="638" spans="1:5" ht="30" customHeight="1" x14ac:dyDescent="0.4">
      <c r="A638" s="3">
        <v>635</v>
      </c>
      <c r="B638" s="2" t="s">
        <v>952</v>
      </c>
      <c r="C638" s="2" t="str">
        <f>"709-0442"</f>
        <v>709-0442</v>
      </c>
      <c r="D638" s="2" t="str">
        <f>"和気郡和気町福富６１６－１"</f>
        <v>和気郡和気町福富６１６－１</v>
      </c>
      <c r="E638" s="1">
        <v>46387</v>
      </c>
    </row>
    <row r="639" spans="1:5" ht="30" customHeight="1" x14ac:dyDescent="0.4">
      <c r="A639" s="3">
        <v>636</v>
      </c>
      <c r="B639" s="2" t="s">
        <v>671</v>
      </c>
      <c r="C639" s="2" t="str">
        <f>"709-0441"</f>
        <v>709-0441</v>
      </c>
      <c r="D639" s="2" t="str">
        <f>"和気郡和気町衣笠８７３－２"</f>
        <v>和気郡和気町衣笠８７３－２</v>
      </c>
      <c r="E639" s="1">
        <v>46387</v>
      </c>
    </row>
    <row r="640" spans="1:5" ht="30" customHeight="1" x14ac:dyDescent="0.4">
      <c r="A640" s="3">
        <v>637</v>
      </c>
      <c r="B640" s="2" t="s">
        <v>953</v>
      </c>
      <c r="C640" s="2" t="str">
        <f>"709-0441"</f>
        <v>709-0441</v>
      </c>
      <c r="D640" s="2" t="str">
        <f>"和気郡和気町衣笠６７１－１"</f>
        <v>和気郡和気町衣笠６７１－１</v>
      </c>
      <c r="E640" s="1">
        <v>46387</v>
      </c>
    </row>
    <row r="641" spans="1:5" ht="30" customHeight="1" x14ac:dyDescent="0.4">
      <c r="A641" s="3">
        <v>638</v>
      </c>
      <c r="B641" s="2" t="s">
        <v>661</v>
      </c>
      <c r="C641" s="2" t="str">
        <f>"709-0413"</f>
        <v>709-0413</v>
      </c>
      <c r="D641" s="2" t="str">
        <f>"和気郡和気町泉50-1"</f>
        <v>和気郡和気町泉50-1</v>
      </c>
      <c r="E641" s="1">
        <v>47483</v>
      </c>
    </row>
    <row r="642" spans="1:5" ht="30" customHeight="1" x14ac:dyDescent="0.4">
      <c r="A642" s="3">
        <v>639</v>
      </c>
      <c r="B642" s="2" t="s">
        <v>688</v>
      </c>
      <c r="C642" s="2" t="str">
        <f>"701-0304"</f>
        <v>701-0304</v>
      </c>
      <c r="D642" s="2" t="str">
        <f>"都窪郡早島町早島３３１７－１"</f>
        <v>都窪郡早島町早島３３１７－１</v>
      </c>
      <c r="E642" s="1">
        <v>46387</v>
      </c>
    </row>
    <row r="643" spans="1:5" ht="30" customHeight="1" x14ac:dyDescent="0.4">
      <c r="A643" s="3">
        <v>640</v>
      </c>
      <c r="B643" s="2" t="s">
        <v>9</v>
      </c>
      <c r="C643" s="2" t="str">
        <f>"701-0304"</f>
        <v>701-0304</v>
      </c>
      <c r="D643" s="2" t="str">
        <f>"都窪郡早島町早島１４６９－１"</f>
        <v>都窪郡早島町早島１４６９－１</v>
      </c>
      <c r="E643" s="1">
        <v>46387</v>
      </c>
    </row>
    <row r="644" spans="1:5" ht="30" customHeight="1" x14ac:dyDescent="0.4">
      <c r="A644" s="3">
        <v>641</v>
      </c>
      <c r="B644" s="2" t="s">
        <v>684</v>
      </c>
      <c r="C644" s="2" t="str">
        <f>"701-0304"</f>
        <v>701-0304</v>
      </c>
      <c r="D644" s="2" t="str">
        <f>"都窪郡早島町早島１４６７－５"</f>
        <v>都窪郡早島町早島１４６７－５</v>
      </c>
      <c r="E644" s="1">
        <v>46387</v>
      </c>
    </row>
    <row r="645" spans="1:5" ht="30" customHeight="1" x14ac:dyDescent="0.4">
      <c r="A645" s="3">
        <v>642</v>
      </c>
      <c r="B645" s="2" t="s">
        <v>691</v>
      </c>
      <c r="C645" s="2" t="str">
        <f>"701-0303"</f>
        <v>701-0303</v>
      </c>
      <c r="D645" s="2" t="s">
        <v>692</v>
      </c>
      <c r="E645" s="1">
        <v>47483</v>
      </c>
    </row>
    <row r="646" spans="1:5" ht="30" customHeight="1" x14ac:dyDescent="0.4">
      <c r="A646" s="3">
        <v>643</v>
      </c>
      <c r="B646" s="2" t="s">
        <v>687</v>
      </c>
      <c r="C646" s="2" t="str">
        <f>"701-0302"</f>
        <v>701-0302</v>
      </c>
      <c r="D646" s="2" t="str">
        <f>"都窪郡早島町若宮３５４１－１５"</f>
        <v>都窪郡早島町若宮３５４１－１５</v>
      </c>
      <c r="E646" s="1">
        <v>46387</v>
      </c>
    </row>
    <row r="647" spans="1:5" ht="30" customHeight="1" x14ac:dyDescent="0.4">
      <c r="A647" s="3">
        <v>644</v>
      </c>
      <c r="B647" s="2" t="s">
        <v>683</v>
      </c>
      <c r="C647" s="2" t="str">
        <f>"701-0303"</f>
        <v>701-0303</v>
      </c>
      <c r="D647" s="2" t="str">
        <f>"都窪郡早島町前潟２８０－２"</f>
        <v>都窪郡早島町前潟２８０－２</v>
      </c>
      <c r="E647" s="1">
        <v>46387</v>
      </c>
    </row>
    <row r="648" spans="1:5" ht="30" customHeight="1" x14ac:dyDescent="0.4">
      <c r="A648" s="3">
        <v>645</v>
      </c>
      <c r="B648" s="2" t="s">
        <v>689</v>
      </c>
      <c r="C648" s="2" t="str">
        <f>"701-0304"</f>
        <v>701-0304</v>
      </c>
      <c r="D648" s="2" t="str">
        <f>"都窪郡早島町早島１４７５－２"</f>
        <v>都窪郡早島町早島１４７５－２</v>
      </c>
      <c r="E648" s="1">
        <v>48213</v>
      </c>
    </row>
    <row r="649" spans="1:5" ht="30" customHeight="1" x14ac:dyDescent="0.4">
      <c r="A649" s="3">
        <v>646</v>
      </c>
      <c r="B649" s="2" t="s">
        <v>954</v>
      </c>
      <c r="C649" s="2" t="str">
        <f>"701-0304"</f>
        <v>701-0304</v>
      </c>
      <c r="D649" s="2" t="s">
        <v>955</v>
      </c>
      <c r="E649" s="1">
        <v>47483</v>
      </c>
    </row>
    <row r="650" spans="1:5" ht="30" customHeight="1" x14ac:dyDescent="0.4">
      <c r="A650" s="3">
        <v>647</v>
      </c>
      <c r="B650" s="2" t="s">
        <v>690</v>
      </c>
      <c r="C650" s="2" t="str">
        <f>"701-0303"</f>
        <v>701-0303</v>
      </c>
      <c r="D650" s="2" t="str">
        <f>"都窪郡早島町前潟６１８－１"</f>
        <v>都窪郡早島町前潟６１８－１</v>
      </c>
      <c r="E650" s="1">
        <v>46387</v>
      </c>
    </row>
    <row r="651" spans="1:5" ht="30" customHeight="1" x14ac:dyDescent="0.4">
      <c r="A651" s="3">
        <v>648</v>
      </c>
      <c r="B651" s="2" t="s">
        <v>885</v>
      </c>
      <c r="C651" s="2" t="str">
        <f>"701-0304"</f>
        <v>701-0304</v>
      </c>
      <c r="D651" s="2" t="s">
        <v>886</v>
      </c>
      <c r="E651" s="1">
        <v>46387</v>
      </c>
    </row>
    <row r="652" spans="1:5" ht="30" customHeight="1" x14ac:dyDescent="0.4">
      <c r="A652" s="3">
        <v>649</v>
      </c>
      <c r="B652" s="2" t="s">
        <v>703</v>
      </c>
      <c r="C652" s="2" t="str">
        <f>"719-0302"</f>
        <v>719-0302</v>
      </c>
      <c r="D652" s="2" t="s">
        <v>704</v>
      </c>
      <c r="E652" s="1">
        <v>46387</v>
      </c>
    </row>
    <row r="653" spans="1:5" ht="30" customHeight="1" x14ac:dyDescent="0.4">
      <c r="A653" s="3">
        <v>650</v>
      </c>
      <c r="B653" s="2" t="s">
        <v>712</v>
      </c>
      <c r="C653" s="2" t="str">
        <f>"719-0301"</f>
        <v>719-0301</v>
      </c>
      <c r="D653" s="2" t="s">
        <v>713</v>
      </c>
      <c r="E653" s="1">
        <v>46387</v>
      </c>
    </row>
    <row r="654" spans="1:5" ht="30" customHeight="1" x14ac:dyDescent="0.4">
      <c r="A654" s="3">
        <v>651</v>
      </c>
      <c r="B654" s="2" t="s">
        <v>698</v>
      </c>
      <c r="C654" s="2" t="str">
        <f>"719-0303"</f>
        <v>719-0303</v>
      </c>
      <c r="D654" s="2" t="str">
        <f>"浅口郡里庄町大字浜中９３－１４１"</f>
        <v>浅口郡里庄町大字浜中９３－１４１</v>
      </c>
      <c r="E654" s="1">
        <v>46387</v>
      </c>
    </row>
    <row r="655" spans="1:5" ht="30" customHeight="1" x14ac:dyDescent="0.4">
      <c r="A655" s="3">
        <v>652</v>
      </c>
      <c r="B655" s="2" t="s">
        <v>1680</v>
      </c>
      <c r="C655" s="2" t="str">
        <f>"719-0303"</f>
        <v>719-0303</v>
      </c>
      <c r="D655" s="2" t="s">
        <v>1681</v>
      </c>
      <c r="E655" s="1">
        <v>47483</v>
      </c>
    </row>
    <row r="656" spans="1:5" ht="30" customHeight="1" x14ac:dyDescent="0.4">
      <c r="A656" s="3">
        <v>653</v>
      </c>
      <c r="B656" s="2" t="s">
        <v>959</v>
      </c>
      <c r="C656" s="2" t="str">
        <f>"719-0301"</f>
        <v>719-0301</v>
      </c>
      <c r="D656" s="2" t="str">
        <f>"浅口郡里庄町里見９２８３－６"</f>
        <v>浅口郡里庄町里見９２８３－６</v>
      </c>
      <c r="E656" s="1">
        <v>46387</v>
      </c>
    </row>
    <row r="657" spans="1:5" ht="30" customHeight="1" x14ac:dyDescent="0.4">
      <c r="A657" s="3">
        <v>654</v>
      </c>
      <c r="B657" s="2" t="s">
        <v>705</v>
      </c>
      <c r="C657" s="2" t="str">
        <f>"719-0302"</f>
        <v>719-0302</v>
      </c>
      <c r="D657" s="2" t="str">
        <f>"浅口郡里庄町新庄５３４１－１"</f>
        <v>浅口郡里庄町新庄５３４１－１</v>
      </c>
      <c r="E657" s="1">
        <v>46387</v>
      </c>
    </row>
    <row r="658" spans="1:5" ht="30" customHeight="1" x14ac:dyDescent="0.4">
      <c r="A658" s="3">
        <v>655</v>
      </c>
      <c r="B658" s="2" t="s">
        <v>715</v>
      </c>
      <c r="C658" s="2" t="str">
        <f>"719-0302"</f>
        <v>719-0302</v>
      </c>
      <c r="D658" s="2" t="str">
        <f>"浅口郡里庄町新庄２９２９－１"</f>
        <v>浅口郡里庄町新庄２９２９－１</v>
      </c>
      <c r="E658" s="1">
        <v>46387</v>
      </c>
    </row>
    <row r="659" spans="1:5" ht="30" customHeight="1" x14ac:dyDescent="0.4">
      <c r="A659" s="3">
        <v>656</v>
      </c>
      <c r="B659" s="2" t="s">
        <v>726</v>
      </c>
      <c r="C659" s="2" t="str">
        <f>"714-1201"</f>
        <v>714-1201</v>
      </c>
      <c r="D659" s="2" t="s">
        <v>727</v>
      </c>
      <c r="E659" s="1">
        <v>46387</v>
      </c>
    </row>
    <row r="660" spans="1:5" ht="30" customHeight="1" x14ac:dyDescent="0.4">
      <c r="A660" s="3">
        <v>657</v>
      </c>
      <c r="B660" s="2" t="s">
        <v>724</v>
      </c>
      <c r="C660" s="2" t="str">
        <f>"714-1201"</f>
        <v>714-1201</v>
      </c>
      <c r="D660" s="2" t="s">
        <v>725</v>
      </c>
      <c r="E660" s="1">
        <v>47848</v>
      </c>
    </row>
    <row r="661" spans="1:5" ht="30" customHeight="1" x14ac:dyDescent="0.4">
      <c r="A661" s="3">
        <v>658</v>
      </c>
      <c r="B661" s="2" t="s">
        <v>717</v>
      </c>
      <c r="C661" s="2" t="str">
        <f>"714-1201"</f>
        <v>714-1201</v>
      </c>
      <c r="D661" s="2" t="str">
        <f>"小田郡矢掛町矢掛３０３０－１"</f>
        <v>小田郡矢掛町矢掛３０３０－１</v>
      </c>
      <c r="E661" s="1">
        <v>46387</v>
      </c>
    </row>
    <row r="662" spans="1:5" ht="30" customHeight="1" x14ac:dyDescent="0.4">
      <c r="A662" s="3">
        <v>659</v>
      </c>
      <c r="B662" s="2" t="s">
        <v>721</v>
      </c>
      <c r="C662" s="2" t="str">
        <f>"714-1227"</f>
        <v>714-1227</v>
      </c>
      <c r="D662" s="2" t="str">
        <f>"小田郡矢掛町小田５５２６－７"</f>
        <v>小田郡矢掛町小田５５２６－７</v>
      </c>
      <c r="E662" s="1">
        <v>46387</v>
      </c>
    </row>
    <row r="663" spans="1:5" ht="30" customHeight="1" x14ac:dyDescent="0.4">
      <c r="A663" s="3">
        <v>660</v>
      </c>
      <c r="B663" s="2" t="s">
        <v>719</v>
      </c>
      <c r="C663" s="2" t="str">
        <f>"714-1202"</f>
        <v>714-1202</v>
      </c>
      <c r="D663" s="2" t="s">
        <v>720</v>
      </c>
      <c r="E663" s="1">
        <v>46387</v>
      </c>
    </row>
    <row r="664" spans="1:5" ht="30" customHeight="1" x14ac:dyDescent="0.4">
      <c r="A664" s="3">
        <v>661</v>
      </c>
      <c r="B664" s="2" t="s">
        <v>728</v>
      </c>
      <c r="C664" s="2" t="str">
        <f>"714-1212"</f>
        <v>714-1212</v>
      </c>
      <c r="D664" s="2" t="s">
        <v>729</v>
      </c>
      <c r="E664" s="1">
        <v>47118</v>
      </c>
    </row>
    <row r="665" spans="1:5" ht="30" customHeight="1" x14ac:dyDescent="0.4">
      <c r="A665" s="3">
        <v>662</v>
      </c>
      <c r="B665" s="2" t="s">
        <v>718</v>
      </c>
      <c r="C665" s="2" t="str">
        <f>"714-1202"</f>
        <v>714-1202</v>
      </c>
      <c r="D665" s="2" t="str">
        <f>"小田郡矢掛町小林１６７－１"</f>
        <v>小田郡矢掛町小林１６７－１</v>
      </c>
      <c r="E665" s="1">
        <v>46387</v>
      </c>
    </row>
    <row r="666" spans="1:5" ht="30" customHeight="1" x14ac:dyDescent="0.4">
      <c r="A666" s="3">
        <v>663</v>
      </c>
      <c r="B666" s="2" t="s">
        <v>960</v>
      </c>
      <c r="C666" s="2" t="str">
        <f>"714-1201"</f>
        <v>714-1201</v>
      </c>
      <c r="D666" s="2" t="str">
        <f>"小田郡矢掛町矢掛２５２７－６"</f>
        <v>小田郡矢掛町矢掛２５２７－６</v>
      </c>
      <c r="E666" s="1">
        <v>47483</v>
      </c>
    </row>
    <row r="667" spans="1:5" ht="30" customHeight="1" x14ac:dyDescent="0.4">
      <c r="A667" s="3">
        <v>664</v>
      </c>
      <c r="B667" s="2" t="s">
        <v>842</v>
      </c>
      <c r="C667" s="2" t="str">
        <f>"714-1201"</f>
        <v>714-1201</v>
      </c>
      <c r="D667" s="2" t="s">
        <v>843</v>
      </c>
      <c r="E667" s="1">
        <v>46387</v>
      </c>
    </row>
    <row r="668" spans="1:5" ht="30" customHeight="1" x14ac:dyDescent="0.4">
      <c r="A668" s="3">
        <v>665</v>
      </c>
      <c r="B668" s="2" t="s">
        <v>722</v>
      </c>
      <c r="C668" s="2" t="str">
        <f>"714-1201"</f>
        <v>714-1201</v>
      </c>
      <c r="D668" s="2" t="s">
        <v>723</v>
      </c>
      <c r="E668" s="1">
        <v>46387</v>
      </c>
    </row>
    <row r="669" spans="1:5" ht="30" customHeight="1" x14ac:dyDescent="0.4">
      <c r="A669" s="3">
        <v>666</v>
      </c>
      <c r="B669" s="2" t="s">
        <v>844</v>
      </c>
      <c r="C669" s="2" t="str">
        <f>"717-0201"</f>
        <v>717-0201</v>
      </c>
      <c r="D669" s="2" t="str">
        <f>"真庭郡新庄村１９９８－１"</f>
        <v>真庭郡新庄村１９９８－１</v>
      </c>
      <c r="E669" s="1">
        <v>47483</v>
      </c>
    </row>
    <row r="670" spans="1:5" ht="30" customHeight="1" x14ac:dyDescent="0.4">
      <c r="A670" s="3">
        <v>667</v>
      </c>
      <c r="B670" s="2" t="s">
        <v>847</v>
      </c>
      <c r="C670" s="2" t="str">
        <f>"708-0423"</f>
        <v>708-0423</v>
      </c>
      <c r="D670" s="2" t="str">
        <f>"苫田郡鏡野町女原９０－１"</f>
        <v>苫田郡鏡野町女原９０－１</v>
      </c>
      <c r="E670" s="1">
        <v>47483</v>
      </c>
    </row>
    <row r="671" spans="1:5" ht="30" customHeight="1" x14ac:dyDescent="0.4">
      <c r="A671" s="3">
        <v>668</v>
      </c>
      <c r="B671" s="2" t="s">
        <v>845</v>
      </c>
      <c r="C671" s="2" t="str">
        <f>"708-0323"</f>
        <v>708-0323</v>
      </c>
      <c r="D671" s="2" t="s">
        <v>846</v>
      </c>
      <c r="E671" s="1">
        <v>46387</v>
      </c>
    </row>
    <row r="672" spans="1:5" ht="30" customHeight="1" x14ac:dyDescent="0.4">
      <c r="A672" s="3">
        <v>669</v>
      </c>
      <c r="B672" s="2" t="s">
        <v>780</v>
      </c>
      <c r="C672" s="2" t="str">
        <f>"708-0351"</f>
        <v>708-0351</v>
      </c>
      <c r="D672" s="2" t="str">
        <f>"苫田郡鏡野町入４８－１"</f>
        <v>苫田郡鏡野町入４８－１</v>
      </c>
      <c r="E672" s="1">
        <v>46387</v>
      </c>
    </row>
    <row r="673" spans="1:5" ht="30" customHeight="1" x14ac:dyDescent="0.4">
      <c r="A673" s="3">
        <v>670</v>
      </c>
      <c r="B673" s="2" t="s">
        <v>781</v>
      </c>
      <c r="C673" s="2" t="str">
        <f>"708-0333"</f>
        <v>708-0333</v>
      </c>
      <c r="D673" s="2" t="s">
        <v>782</v>
      </c>
      <c r="E673" s="1">
        <v>46387</v>
      </c>
    </row>
    <row r="674" spans="1:5" ht="30" customHeight="1" x14ac:dyDescent="0.4">
      <c r="A674" s="3">
        <v>671</v>
      </c>
      <c r="B674" s="2" t="s">
        <v>551</v>
      </c>
      <c r="C674" s="2" t="str">
        <f>"708-0333"</f>
        <v>708-0333</v>
      </c>
      <c r="D674" s="2" t="str">
        <f>"苫田郡鏡野町古川４２１－５"</f>
        <v>苫田郡鏡野町古川４２１－５</v>
      </c>
      <c r="E674" s="1">
        <v>46387</v>
      </c>
    </row>
    <row r="675" spans="1:5" ht="30" customHeight="1" x14ac:dyDescent="0.4">
      <c r="A675" s="3">
        <v>672</v>
      </c>
      <c r="B675" s="2" t="s">
        <v>6</v>
      </c>
      <c r="C675" s="2" t="str">
        <f>"708-0323"</f>
        <v>708-0323</v>
      </c>
      <c r="D675" s="2" t="str">
        <f>"苫田郡鏡野町寺元３４３－１"</f>
        <v>苫田郡鏡野町寺元３４３－１</v>
      </c>
      <c r="E675" s="1">
        <v>46387</v>
      </c>
    </row>
    <row r="676" spans="1:5" ht="30" customHeight="1" x14ac:dyDescent="0.4">
      <c r="A676" s="3">
        <v>673</v>
      </c>
      <c r="B676" s="2" t="s">
        <v>783</v>
      </c>
      <c r="C676" s="2" t="str">
        <f>"708-0332"</f>
        <v>708-0332</v>
      </c>
      <c r="D676" s="2" t="s">
        <v>784</v>
      </c>
      <c r="E676" s="1">
        <v>46387</v>
      </c>
    </row>
    <row r="677" spans="1:5" ht="30" customHeight="1" x14ac:dyDescent="0.4">
      <c r="A677" s="3">
        <v>674</v>
      </c>
      <c r="B677" s="2" t="s">
        <v>788</v>
      </c>
      <c r="C677" s="2" t="str">
        <f>"709-4316"</f>
        <v>709-4316</v>
      </c>
      <c r="D677" s="2" t="str">
        <f>"勝田郡勝央町勝間田２２０－２"</f>
        <v>勝田郡勝央町勝間田２２０－２</v>
      </c>
      <c r="E677" s="1">
        <v>46387</v>
      </c>
    </row>
    <row r="678" spans="1:5" ht="30" customHeight="1" x14ac:dyDescent="0.4">
      <c r="A678" s="3">
        <v>675</v>
      </c>
      <c r="B678" s="2" t="s">
        <v>794</v>
      </c>
      <c r="C678" s="2" t="str">
        <f>"709-4316"</f>
        <v>709-4316</v>
      </c>
      <c r="D678" s="2" t="s">
        <v>795</v>
      </c>
      <c r="E678" s="1">
        <v>46387</v>
      </c>
    </row>
    <row r="679" spans="1:5" ht="30" customHeight="1" x14ac:dyDescent="0.4">
      <c r="A679" s="3">
        <v>676</v>
      </c>
      <c r="B679" s="2" t="s">
        <v>790</v>
      </c>
      <c r="C679" s="2" t="str">
        <f>"709-4312"</f>
        <v>709-4312</v>
      </c>
      <c r="D679" s="2" t="s">
        <v>791</v>
      </c>
      <c r="E679" s="1">
        <v>46387</v>
      </c>
    </row>
    <row r="680" spans="1:5" ht="30" customHeight="1" x14ac:dyDescent="0.4">
      <c r="A680" s="3">
        <v>677</v>
      </c>
      <c r="B680" s="2" t="s">
        <v>785</v>
      </c>
      <c r="C680" s="2" t="str">
        <f>"709-4334"</f>
        <v>709-4334</v>
      </c>
      <c r="D680" s="2" t="s">
        <v>786</v>
      </c>
      <c r="E680" s="1">
        <v>46387</v>
      </c>
    </row>
    <row r="681" spans="1:5" ht="30" customHeight="1" x14ac:dyDescent="0.4">
      <c r="A681" s="3">
        <v>678</v>
      </c>
      <c r="B681" s="2" t="s">
        <v>850</v>
      </c>
      <c r="C681" s="2" t="str">
        <f>"708-1323"</f>
        <v>708-1323</v>
      </c>
      <c r="D681" s="2" t="str">
        <f>"勝田郡奈義町豊沢２９２－１"</f>
        <v>勝田郡奈義町豊沢２９２－１</v>
      </c>
      <c r="E681" s="1">
        <v>46387</v>
      </c>
    </row>
    <row r="682" spans="1:5" ht="30" customHeight="1" x14ac:dyDescent="0.4">
      <c r="A682" s="3">
        <v>679</v>
      </c>
      <c r="B682" s="2" t="s">
        <v>965</v>
      </c>
      <c r="C682" s="2" t="str">
        <f>"707-0504"</f>
        <v>707-0504</v>
      </c>
      <c r="D682" s="2" t="str">
        <f>"英田郡西粟倉村長尾１０２６－４"</f>
        <v>英田郡西粟倉村長尾１０２６－４</v>
      </c>
      <c r="E682" s="1">
        <v>46387</v>
      </c>
    </row>
    <row r="683" spans="1:5" ht="30" customHeight="1" x14ac:dyDescent="0.4">
      <c r="A683" s="3">
        <v>680</v>
      </c>
      <c r="B683" s="2" t="s">
        <v>848</v>
      </c>
      <c r="C683" s="2" t="str">
        <f>"707-0503"</f>
        <v>707-0503</v>
      </c>
      <c r="D683" s="2" t="s">
        <v>849</v>
      </c>
      <c r="E683" s="1">
        <v>46387</v>
      </c>
    </row>
    <row r="684" spans="1:5" ht="30" customHeight="1" x14ac:dyDescent="0.4">
      <c r="A684" s="3">
        <v>681</v>
      </c>
      <c r="B684" s="2" t="s">
        <v>807</v>
      </c>
      <c r="C684" s="2" t="str">
        <f>"709-3627"</f>
        <v>709-3627</v>
      </c>
      <c r="D684" s="2" t="str">
        <f>"久米郡久米南町神目中７９４－６"</f>
        <v>久米郡久米南町神目中７９４－６</v>
      </c>
      <c r="E684" s="1">
        <v>46387</v>
      </c>
    </row>
    <row r="685" spans="1:5" ht="30" customHeight="1" x14ac:dyDescent="0.4">
      <c r="A685" s="3">
        <v>682</v>
      </c>
      <c r="B685" s="2" t="s">
        <v>808</v>
      </c>
      <c r="C685" s="2" t="str">
        <f>"709-3614"</f>
        <v>709-3614</v>
      </c>
      <c r="D685" s="2" t="str">
        <f>"久米郡久米南町下弓削３８９－１"</f>
        <v>久米郡久米南町下弓削３８９－１</v>
      </c>
      <c r="E685" s="1">
        <v>46387</v>
      </c>
    </row>
    <row r="686" spans="1:5" ht="30" customHeight="1" x14ac:dyDescent="0.4">
      <c r="A686" s="3">
        <v>683</v>
      </c>
      <c r="B686" s="2" t="s">
        <v>966</v>
      </c>
      <c r="C686" s="2" t="str">
        <f>"709-3614"</f>
        <v>709-3614</v>
      </c>
      <c r="D686" s="2" t="str">
        <f>"久米郡久米南町下弓削３９１－８"</f>
        <v>久米郡久米南町下弓削３９１－８</v>
      </c>
      <c r="E686" s="1">
        <v>46387</v>
      </c>
    </row>
    <row r="687" spans="1:5" ht="30" customHeight="1" x14ac:dyDescent="0.4">
      <c r="A687" s="3">
        <v>684</v>
      </c>
      <c r="B687" s="2" t="s">
        <v>809</v>
      </c>
      <c r="C687" s="2" t="str">
        <f>"709-3717"</f>
        <v>709-3717</v>
      </c>
      <c r="D687" s="2" t="str">
        <f>"久米郡美咲町原田３１５４－１"</f>
        <v>久米郡美咲町原田３１５４－１</v>
      </c>
      <c r="E687" s="1">
        <v>46387</v>
      </c>
    </row>
    <row r="688" spans="1:5" ht="30" customHeight="1" x14ac:dyDescent="0.4">
      <c r="A688" s="3">
        <v>685</v>
      </c>
      <c r="B688" s="2" t="s">
        <v>806</v>
      </c>
      <c r="C688" s="2" t="str">
        <f>"709-3717"</f>
        <v>709-3717</v>
      </c>
      <c r="D688" s="2" t="str">
        <f>"久米郡美咲町原田１７３２－１"</f>
        <v>久米郡美咲町原田１７３２－１</v>
      </c>
      <c r="E688" s="1">
        <v>46387</v>
      </c>
    </row>
    <row r="689" spans="1:5" ht="30" customHeight="1" x14ac:dyDescent="0.4">
      <c r="A689" s="3">
        <v>686</v>
      </c>
      <c r="B689" s="2" t="s">
        <v>810</v>
      </c>
      <c r="C689" s="2" t="str">
        <f>"708-1523"</f>
        <v>708-1523</v>
      </c>
      <c r="D689" s="2" t="s">
        <v>811</v>
      </c>
      <c r="E689" s="1">
        <v>46387</v>
      </c>
    </row>
    <row r="690" spans="1:5" ht="30" customHeight="1" x14ac:dyDescent="0.4">
      <c r="A690" s="3">
        <v>687</v>
      </c>
      <c r="B690" s="2" t="s">
        <v>1687</v>
      </c>
      <c r="C690" s="2" t="str">
        <f>"716-1553"</f>
        <v>716-1553</v>
      </c>
      <c r="D690" s="2" t="s">
        <v>740</v>
      </c>
      <c r="E690" s="1">
        <v>47848</v>
      </c>
    </row>
    <row r="691" spans="1:5" ht="30" customHeight="1" x14ac:dyDescent="0.4">
      <c r="A691" s="3">
        <v>688</v>
      </c>
      <c r="B691" s="2" t="s">
        <v>813</v>
      </c>
      <c r="C691" s="2" t="str">
        <f>"716-1241"</f>
        <v>716-1241</v>
      </c>
      <c r="D691" s="2" t="s">
        <v>814</v>
      </c>
      <c r="E691" s="1">
        <v>46387</v>
      </c>
    </row>
    <row r="692" spans="1:5" ht="30" customHeight="1" x14ac:dyDescent="0.4">
      <c r="A692" s="3">
        <v>689</v>
      </c>
      <c r="B692" s="2" t="s">
        <v>739</v>
      </c>
      <c r="C692" s="2" t="str">
        <f>"716-1553"</f>
        <v>716-1553</v>
      </c>
      <c r="D692" s="2" t="s">
        <v>740</v>
      </c>
      <c r="E692" s="1">
        <v>46387</v>
      </c>
    </row>
    <row r="693" spans="1:5" ht="30" customHeight="1" x14ac:dyDescent="0.4">
      <c r="A693" s="3">
        <v>690</v>
      </c>
      <c r="B693" s="2" t="s">
        <v>812</v>
      </c>
      <c r="C693" s="2" t="str">
        <f>"709-2553"</f>
        <v>709-2553</v>
      </c>
      <c r="D693" s="2" t="str">
        <f>"加賀郡吉備中央町富永１４０３－１"</f>
        <v>加賀郡吉備中央町富永１４０３－１</v>
      </c>
      <c r="E693" s="1">
        <v>46387</v>
      </c>
    </row>
    <row r="694" spans="1:5" ht="30" customHeight="1" x14ac:dyDescent="0.4">
      <c r="A694" s="3">
        <v>691</v>
      </c>
      <c r="B694" s="2" t="s">
        <v>636</v>
      </c>
      <c r="C694" s="2" t="str">
        <f>"709-2412"</f>
        <v>709-2412</v>
      </c>
      <c r="D694" s="2" t="s">
        <v>637</v>
      </c>
      <c r="E694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EB55D-7462-4693-BE6E-618D80B7CCE9}">
  <dimension ref="A1:E473"/>
  <sheetViews>
    <sheetView workbookViewId="0">
      <selection activeCell="F1" sqref="F1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1690</v>
      </c>
      <c r="B1" s="4"/>
      <c r="C1" s="4"/>
      <c r="D1" s="4"/>
      <c r="E1" s="4"/>
    </row>
    <row r="2" spans="1:5" ht="30" customHeight="1" x14ac:dyDescent="0.4">
      <c r="E2" s="5">
        <v>46082</v>
      </c>
    </row>
    <row r="3" spans="1:5" ht="30" customHeight="1" x14ac:dyDescent="0.4">
      <c r="A3" s="3" t="s">
        <v>1688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1148</v>
      </c>
      <c r="C4" s="2" t="str">
        <f>"711-0913"</f>
        <v>711-0913</v>
      </c>
      <c r="D4" s="2" t="str">
        <f>"倉敷市児島味野6-1-6"</f>
        <v>倉敷市児島味野6-1-6</v>
      </c>
      <c r="E4" s="1">
        <v>47118</v>
      </c>
    </row>
    <row r="5" spans="1:5" ht="30" customHeight="1" x14ac:dyDescent="0.4">
      <c r="A5" s="3">
        <v>2</v>
      </c>
      <c r="B5" s="2" t="s">
        <v>1176</v>
      </c>
      <c r="C5" s="2" t="str">
        <f>"711-0906"</f>
        <v>711-0906</v>
      </c>
      <c r="D5" s="2" t="s">
        <v>1177</v>
      </c>
      <c r="E5" s="1">
        <v>47848</v>
      </c>
    </row>
    <row r="6" spans="1:5" ht="30" customHeight="1" x14ac:dyDescent="0.4">
      <c r="A6" s="3">
        <v>3</v>
      </c>
      <c r="B6" s="2" t="s">
        <v>1017</v>
      </c>
      <c r="C6" s="2" t="str">
        <f>"710-0802"</f>
        <v>710-0802</v>
      </c>
      <c r="D6" s="2" t="str">
        <f>"倉敷市水江１０３８－１"</f>
        <v>倉敷市水江１０３８－１</v>
      </c>
      <c r="E6" s="1">
        <v>46387</v>
      </c>
    </row>
    <row r="7" spans="1:5" ht="30" customHeight="1" x14ac:dyDescent="0.4">
      <c r="A7" s="3">
        <v>4</v>
      </c>
      <c r="B7" s="2" t="s">
        <v>1103</v>
      </c>
      <c r="C7" s="2" t="str">
        <f>"710-0055"</f>
        <v>710-0055</v>
      </c>
      <c r="D7" s="2" t="str">
        <f>"倉敷市阿知２丁目１５－３"</f>
        <v>倉敷市阿知２丁目１５－３</v>
      </c>
      <c r="E7" s="1">
        <v>47848</v>
      </c>
    </row>
    <row r="8" spans="1:5" ht="30" customHeight="1" x14ac:dyDescent="0.4">
      <c r="A8" s="3">
        <v>5</v>
      </c>
      <c r="B8" s="2" t="s">
        <v>1015</v>
      </c>
      <c r="C8" s="2" t="str">
        <f>"710-1101"</f>
        <v>710-1101</v>
      </c>
      <c r="D8" s="2" t="s">
        <v>1016</v>
      </c>
      <c r="E8" s="1">
        <v>46387</v>
      </c>
    </row>
    <row r="9" spans="1:5" ht="30" customHeight="1" x14ac:dyDescent="0.4">
      <c r="A9" s="3">
        <v>6</v>
      </c>
      <c r="B9" s="2" t="s">
        <v>1156</v>
      </c>
      <c r="C9" s="2" t="str">
        <f>"701-0115"</f>
        <v>701-0115</v>
      </c>
      <c r="D9" s="2" t="str">
        <f>"倉敷市二子２０３－１８"</f>
        <v>倉敷市二子２０３－１８</v>
      </c>
      <c r="E9" s="1">
        <v>47483</v>
      </c>
    </row>
    <row r="10" spans="1:5" ht="30" customHeight="1" x14ac:dyDescent="0.4">
      <c r="A10" s="3">
        <v>7</v>
      </c>
      <c r="B10" s="2" t="s">
        <v>1137</v>
      </c>
      <c r="C10" s="2" t="str">
        <f>"710-0813"</f>
        <v>710-0813</v>
      </c>
      <c r="D10" s="2" t="s">
        <v>1138</v>
      </c>
      <c r="E10" s="1">
        <v>46752</v>
      </c>
    </row>
    <row r="11" spans="1:5" ht="30" customHeight="1" x14ac:dyDescent="0.4">
      <c r="A11" s="3">
        <v>8</v>
      </c>
      <c r="B11" s="2" t="s">
        <v>1166</v>
      </c>
      <c r="C11" s="2" t="str">
        <f>"710-0802"</f>
        <v>710-0802</v>
      </c>
      <c r="D11" s="2" t="str">
        <f>"倉敷市水江１－４５　シティハイツアンドA１０１"</f>
        <v>倉敷市水江１－４５　シティハイツアンドA１０１</v>
      </c>
      <c r="E11" s="1">
        <v>47848</v>
      </c>
    </row>
    <row r="12" spans="1:5" ht="30" customHeight="1" x14ac:dyDescent="0.4">
      <c r="A12" s="3">
        <v>9</v>
      </c>
      <c r="B12" s="2" t="s">
        <v>991</v>
      </c>
      <c r="C12" s="2" t="str">
        <f>"710-0837"</f>
        <v>710-0837</v>
      </c>
      <c r="D12" s="2" t="str">
        <f>"倉敷市沖新町９０－１"</f>
        <v>倉敷市沖新町９０－１</v>
      </c>
      <c r="E12" s="1">
        <v>46387</v>
      </c>
    </row>
    <row r="13" spans="1:5" ht="30" customHeight="1" x14ac:dyDescent="0.4">
      <c r="A13" s="3">
        <v>10</v>
      </c>
      <c r="B13" s="2" t="s">
        <v>1153</v>
      </c>
      <c r="C13" s="2" t="str">
        <f>"710-0837"</f>
        <v>710-0837</v>
      </c>
      <c r="D13" s="2" t="str">
        <f>"倉敷市沖新町９２－２２第２大高ビル１０２"</f>
        <v>倉敷市沖新町９２－２２第２大高ビル１０２</v>
      </c>
      <c r="E13" s="1">
        <v>47483</v>
      </c>
    </row>
    <row r="14" spans="1:5" ht="30" customHeight="1" x14ac:dyDescent="0.4">
      <c r="A14" s="3">
        <v>11</v>
      </c>
      <c r="B14" s="2" t="s">
        <v>997</v>
      </c>
      <c r="C14" s="2" t="str">
        <f>"710-0842"</f>
        <v>710-0842</v>
      </c>
      <c r="D14" s="2" t="str">
        <f>"倉敷市吉岡５５７－２８"</f>
        <v>倉敷市吉岡５５７－２８</v>
      </c>
      <c r="E14" s="1">
        <v>46387</v>
      </c>
    </row>
    <row r="15" spans="1:5" ht="30" customHeight="1" x14ac:dyDescent="0.4">
      <c r="A15" s="3">
        <v>12</v>
      </c>
      <c r="B15" s="2" t="s">
        <v>1113</v>
      </c>
      <c r="C15" s="2" t="str">
        <f>"710-0824"</f>
        <v>710-0824</v>
      </c>
      <c r="D15" s="2" t="s">
        <v>1114</v>
      </c>
      <c r="E15" s="1">
        <v>48213</v>
      </c>
    </row>
    <row r="16" spans="1:5" ht="30" customHeight="1" x14ac:dyDescent="0.4">
      <c r="A16" s="3">
        <v>13</v>
      </c>
      <c r="B16" s="2" t="s">
        <v>1087</v>
      </c>
      <c r="C16" s="2" t="str">
        <f>"710-0824"</f>
        <v>710-0824</v>
      </c>
      <c r="D16" s="2" t="str">
        <f>"倉敷市白楽町２７８－７"</f>
        <v>倉敷市白楽町２７８－７</v>
      </c>
      <c r="E16" s="1">
        <v>47118</v>
      </c>
    </row>
    <row r="17" spans="1:5" ht="30" customHeight="1" x14ac:dyDescent="0.4">
      <c r="A17" s="3">
        <v>14</v>
      </c>
      <c r="B17" s="2" t="s">
        <v>1029</v>
      </c>
      <c r="C17" s="2" t="str">
        <f>"710-0043"</f>
        <v>710-0043</v>
      </c>
      <c r="D17" s="2" t="str">
        <f>"倉敷市羽島２００－１１"</f>
        <v>倉敷市羽島２００－１１</v>
      </c>
      <c r="E17" s="1">
        <v>46387</v>
      </c>
    </row>
    <row r="18" spans="1:5" ht="30" customHeight="1" x14ac:dyDescent="0.4">
      <c r="A18" s="3">
        <v>15</v>
      </c>
      <c r="B18" s="2" t="s">
        <v>1146</v>
      </c>
      <c r="C18" s="2" t="str">
        <f>"710-0802"</f>
        <v>710-0802</v>
      </c>
      <c r="D18" s="2" t="s">
        <v>1147</v>
      </c>
      <c r="E18" s="1">
        <v>47118</v>
      </c>
    </row>
    <row r="19" spans="1:5" ht="30" customHeight="1" x14ac:dyDescent="0.4">
      <c r="A19" s="3">
        <v>16</v>
      </c>
      <c r="B19" s="2" t="s">
        <v>994</v>
      </c>
      <c r="C19" s="2" t="str">
        <f>"711-0921"</f>
        <v>711-0921</v>
      </c>
      <c r="D19" s="2" t="s">
        <v>118</v>
      </c>
      <c r="E19" s="1">
        <v>46387</v>
      </c>
    </row>
    <row r="20" spans="1:5" ht="30" customHeight="1" x14ac:dyDescent="0.4">
      <c r="A20" s="3">
        <v>17</v>
      </c>
      <c r="B20" s="2" t="s">
        <v>1035</v>
      </c>
      <c r="C20" s="2" t="str">
        <f>"710-0048"</f>
        <v>710-0048</v>
      </c>
      <c r="D20" s="2" t="str">
        <f>"倉敷市福島４９７－５"</f>
        <v>倉敷市福島４９７－５</v>
      </c>
      <c r="E20" s="1">
        <v>46387</v>
      </c>
    </row>
    <row r="21" spans="1:5" ht="30" customHeight="1" x14ac:dyDescent="0.4">
      <c r="A21" s="3">
        <v>18</v>
      </c>
      <c r="B21" s="2" t="s">
        <v>1066</v>
      </c>
      <c r="C21" s="2" t="str">
        <f>"710-0133"</f>
        <v>710-0133</v>
      </c>
      <c r="D21" s="2" t="str">
        <f>"倉敷市藤戸町藤戸１３８４－３"</f>
        <v>倉敷市藤戸町藤戸１３８４－３</v>
      </c>
      <c r="E21" s="1">
        <v>46387</v>
      </c>
    </row>
    <row r="22" spans="1:5" ht="30" customHeight="1" x14ac:dyDescent="0.4">
      <c r="A22" s="3">
        <v>19</v>
      </c>
      <c r="B22" s="2" t="s">
        <v>1141</v>
      </c>
      <c r="C22" s="2" t="str">
        <f>"710-0023"</f>
        <v>710-0023</v>
      </c>
      <c r="D22" s="2" t="str">
        <f>"倉敷市帯高160-2"</f>
        <v>倉敷市帯高160-2</v>
      </c>
      <c r="E22" s="1">
        <v>47118</v>
      </c>
    </row>
    <row r="23" spans="1:5" ht="30" customHeight="1" x14ac:dyDescent="0.4">
      <c r="A23" s="3">
        <v>20</v>
      </c>
      <c r="B23" s="2" t="s">
        <v>1179</v>
      </c>
      <c r="C23" s="2" t="str">
        <f>"712-8032"</f>
        <v>712-8032</v>
      </c>
      <c r="D23" s="2" t="s">
        <v>1180</v>
      </c>
      <c r="E23" s="1">
        <v>47848</v>
      </c>
    </row>
    <row r="24" spans="1:5" ht="30" customHeight="1" x14ac:dyDescent="0.4">
      <c r="A24" s="3">
        <v>21</v>
      </c>
      <c r="B24" s="2" t="s">
        <v>1178</v>
      </c>
      <c r="C24" s="2" t="str">
        <f>"712-8063"</f>
        <v>712-8063</v>
      </c>
      <c r="D24" s="2" t="str">
        <f>"倉敷市水島南幸町１－５"</f>
        <v>倉敷市水島南幸町１－５</v>
      </c>
      <c r="E24" s="1">
        <v>47848</v>
      </c>
    </row>
    <row r="25" spans="1:5" ht="30" customHeight="1" x14ac:dyDescent="0.4">
      <c r="A25" s="3">
        <v>22</v>
      </c>
      <c r="B25" s="2" t="s">
        <v>1101</v>
      </c>
      <c r="C25" s="2" t="str">
        <f>"711-0913"</f>
        <v>711-0913</v>
      </c>
      <c r="D25" s="2" t="str">
        <f>"倉敷市児島味野１－１－９"</f>
        <v>倉敷市児島味野１－１－９</v>
      </c>
      <c r="E25" s="1">
        <v>46387</v>
      </c>
    </row>
    <row r="26" spans="1:5" ht="30" customHeight="1" x14ac:dyDescent="0.4">
      <c r="A26" s="3">
        <v>23</v>
      </c>
      <c r="B26" s="2" t="s">
        <v>1145</v>
      </c>
      <c r="C26" s="2" t="str">
        <f>"710-0055"</f>
        <v>710-0055</v>
      </c>
      <c r="D26" s="2" t="str">
        <f>"倉敷市阿知１－７－２"</f>
        <v>倉敷市阿知１－７－２</v>
      </c>
      <c r="E26" s="1">
        <v>47118</v>
      </c>
    </row>
    <row r="27" spans="1:5" ht="30" customHeight="1" x14ac:dyDescent="0.4">
      <c r="A27" s="3">
        <v>24</v>
      </c>
      <c r="B27" s="2" t="s">
        <v>1116</v>
      </c>
      <c r="C27" s="2" t="str">
        <f>"710-1306"</f>
        <v>710-1306</v>
      </c>
      <c r="D27" s="2" t="s">
        <v>1117</v>
      </c>
      <c r="E27" s="1">
        <v>46387</v>
      </c>
    </row>
    <row r="28" spans="1:5" ht="30" customHeight="1" x14ac:dyDescent="0.4">
      <c r="A28" s="3">
        <v>25</v>
      </c>
      <c r="B28" s="2" t="s">
        <v>1111</v>
      </c>
      <c r="C28" s="2" t="str">
        <f>"712-8014"</f>
        <v>712-8014</v>
      </c>
      <c r="D28" s="2" t="s">
        <v>1112</v>
      </c>
      <c r="E28" s="1">
        <v>48213</v>
      </c>
    </row>
    <row r="29" spans="1:5" ht="30" customHeight="1" x14ac:dyDescent="0.4">
      <c r="A29" s="3">
        <v>26</v>
      </c>
      <c r="B29" s="2" t="s">
        <v>981</v>
      </c>
      <c r="C29" s="2" t="str">
        <f>"713-8121"</f>
        <v>713-8121</v>
      </c>
      <c r="D29" s="2" t="str">
        <f>"倉敷市玉島阿賀崎１－２－３３"</f>
        <v>倉敷市玉島阿賀崎１－２－３３</v>
      </c>
      <c r="E29" s="1">
        <v>46387</v>
      </c>
    </row>
    <row r="30" spans="1:5" ht="30" customHeight="1" x14ac:dyDescent="0.4">
      <c r="A30" s="3">
        <v>27</v>
      </c>
      <c r="B30" s="2" t="s">
        <v>1102</v>
      </c>
      <c r="C30" s="2" t="str">
        <f>"710-0826"</f>
        <v>710-0826</v>
      </c>
      <c r="D30" s="2" t="str">
        <f>"倉敷市老松町５丁目５８８－１"</f>
        <v>倉敷市老松町５丁目５８８－１</v>
      </c>
      <c r="E30" s="1">
        <v>47848</v>
      </c>
    </row>
    <row r="31" spans="1:5" ht="30" customHeight="1" x14ac:dyDescent="0.4">
      <c r="A31" s="3">
        <v>28</v>
      </c>
      <c r="B31" s="2" t="s">
        <v>1058</v>
      </c>
      <c r="C31" s="2" t="str">
        <f>"710-0003"</f>
        <v>710-0003</v>
      </c>
      <c r="D31" s="2" t="str">
        <f>"倉敷市平田４０３－１１"</f>
        <v>倉敷市平田４０３－１１</v>
      </c>
      <c r="E31" s="1">
        <v>46387</v>
      </c>
    </row>
    <row r="32" spans="1:5" ht="30" customHeight="1" x14ac:dyDescent="0.4">
      <c r="A32" s="3">
        <v>29</v>
      </c>
      <c r="B32" s="2" t="s">
        <v>1048</v>
      </c>
      <c r="C32" s="2" t="str">
        <f>"701-0111"</f>
        <v>701-0111</v>
      </c>
      <c r="D32" s="2" t="str">
        <f>"倉敷市上東１０５７－４"</f>
        <v>倉敷市上東１０５７－４</v>
      </c>
      <c r="E32" s="1">
        <v>46387</v>
      </c>
    </row>
    <row r="33" spans="1:5" ht="30" customHeight="1" x14ac:dyDescent="0.4">
      <c r="A33" s="3">
        <v>30</v>
      </c>
      <c r="B33" s="2" t="s">
        <v>1122</v>
      </c>
      <c r="C33" s="2" t="str">
        <f>"710-0055"</f>
        <v>710-0055</v>
      </c>
      <c r="D33" s="2" t="str">
        <f>"倉敷市阿知３丁目13-1　１F"</f>
        <v>倉敷市阿知３丁目13-1　１F</v>
      </c>
      <c r="E33" s="1">
        <v>46387</v>
      </c>
    </row>
    <row r="34" spans="1:5" ht="30" customHeight="1" x14ac:dyDescent="0.4">
      <c r="A34" s="3">
        <v>31</v>
      </c>
      <c r="B34" s="2" t="s">
        <v>1059</v>
      </c>
      <c r="C34" s="2" t="str">
        <f>"710-0038"</f>
        <v>710-0038</v>
      </c>
      <c r="D34" s="2" t="str">
        <f>"倉敷市新田２５０８－１６"</f>
        <v>倉敷市新田２５０８－１６</v>
      </c>
      <c r="E34" s="1">
        <v>46387</v>
      </c>
    </row>
    <row r="35" spans="1:5" ht="30" customHeight="1" x14ac:dyDescent="0.4">
      <c r="A35" s="3">
        <v>32</v>
      </c>
      <c r="B35" s="2" t="s">
        <v>1084</v>
      </c>
      <c r="C35" s="2" t="str">
        <f>"710-0056"</f>
        <v>710-0056</v>
      </c>
      <c r="D35" s="2" t="str">
        <f>"倉敷市鶴形１丁目３－９"</f>
        <v>倉敷市鶴形１丁目３－９</v>
      </c>
      <c r="E35" s="1">
        <v>46752</v>
      </c>
    </row>
    <row r="36" spans="1:5" ht="30" customHeight="1" x14ac:dyDescent="0.4">
      <c r="A36" s="3">
        <v>33</v>
      </c>
      <c r="B36" s="2" t="s">
        <v>1110</v>
      </c>
      <c r="C36" s="2" t="str">
        <f>"710-0806"</f>
        <v>710-0806</v>
      </c>
      <c r="D36" s="2" t="str">
        <f>"倉敷市西阿知町西原１０７４－３９"</f>
        <v>倉敷市西阿知町西原１０７４－３９</v>
      </c>
      <c r="E36" s="1">
        <v>48213</v>
      </c>
    </row>
    <row r="37" spans="1:5" ht="30" customHeight="1" x14ac:dyDescent="0.4">
      <c r="A37" s="3">
        <v>34</v>
      </c>
      <c r="B37" s="2" t="s">
        <v>1043</v>
      </c>
      <c r="C37" s="2" t="str">
        <f>"711-0921"</f>
        <v>711-0921</v>
      </c>
      <c r="D37" s="2" t="str">
        <f>"倉敷市児島駅前１－１０４"</f>
        <v>倉敷市児島駅前１－１０４</v>
      </c>
      <c r="E37" s="1">
        <v>46387</v>
      </c>
    </row>
    <row r="38" spans="1:5" ht="30" customHeight="1" x14ac:dyDescent="0.4">
      <c r="A38" s="3">
        <v>35</v>
      </c>
      <c r="B38" s="2" t="s">
        <v>1162</v>
      </c>
      <c r="C38" s="2" t="str">
        <f>"710-0834"</f>
        <v>710-0834</v>
      </c>
      <c r="D38" s="2" t="str">
        <f>"倉敷市笹沖１６３－１５"</f>
        <v>倉敷市笹沖１６３－１５</v>
      </c>
      <c r="E38" s="1">
        <v>47848</v>
      </c>
    </row>
    <row r="39" spans="1:5" ht="30" customHeight="1" x14ac:dyDescent="0.4">
      <c r="A39" s="3">
        <v>36</v>
      </c>
      <c r="B39" s="2" t="s">
        <v>985</v>
      </c>
      <c r="C39" s="2" t="str">
        <f>"713-8122"</f>
        <v>713-8122</v>
      </c>
      <c r="D39" s="2" t="str">
        <f>"倉敷市玉島中央町３－１２－８"</f>
        <v>倉敷市玉島中央町３－１２－８</v>
      </c>
      <c r="E39" s="1">
        <v>46387</v>
      </c>
    </row>
    <row r="40" spans="1:5" ht="30" customHeight="1" x14ac:dyDescent="0.4">
      <c r="A40" s="3">
        <v>37</v>
      </c>
      <c r="B40" s="2" t="s">
        <v>1175</v>
      </c>
      <c r="C40" s="2" t="str">
        <f>"713-8102"</f>
        <v>713-8102</v>
      </c>
      <c r="D40" s="2" t="str">
        <f>"倉敷市玉島１６５１－１"</f>
        <v>倉敷市玉島１６５１－１</v>
      </c>
      <c r="E40" s="1">
        <v>47848</v>
      </c>
    </row>
    <row r="41" spans="1:5" ht="30" customHeight="1" x14ac:dyDescent="0.4">
      <c r="A41" s="3">
        <v>38</v>
      </c>
      <c r="B41" s="2" t="s">
        <v>1126</v>
      </c>
      <c r="C41" s="2" t="str">
        <f>"710-0833"</f>
        <v>710-0833</v>
      </c>
      <c r="D41" s="2" t="str">
        <f>"倉敷市西中新田２０－１４"</f>
        <v>倉敷市西中新田２０－１４</v>
      </c>
      <c r="E41" s="1">
        <v>46752</v>
      </c>
    </row>
    <row r="42" spans="1:5" ht="30" customHeight="1" x14ac:dyDescent="0.4">
      <c r="A42" s="3">
        <v>39</v>
      </c>
      <c r="B42" s="2" t="s">
        <v>1128</v>
      </c>
      <c r="C42" s="2" t="str">
        <f>"710-0057"</f>
        <v>710-0057</v>
      </c>
      <c r="D42" s="2" t="str">
        <f>"倉敷市昭和２－４６０－２０"</f>
        <v>倉敷市昭和２－４６０－２０</v>
      </c>
      <c r="E42" s="1">
        <v>46752</v>
      </c>
    </row>
    <row r="43" spans="1:5" ht="30" customHeight="1" x14ac:dyDescent="0.4">
      <c r="A43" s="3">
        <v>40</v>
      </c>
      <c r="B43" s="2" t="s">
        <v>1129</v>
      </c>
      <c r="C43" s="2" t="str">
        <f>"710-0038"</f>
        <v>710-0038</v>
      </c>
      <c r="D43" s="2" t="s">
        <v>1104</v>
      </c>
      <c r="E43" s="1">
        <v>46752</v>
      </c>
    </row>
    <row r="44" spans="1:5" ht="30" customHeight="1" x14ac:dyDescent="0.4">
      <c r="A44" s="3">
        <v>41</v>
      </c>
      <c r="B44" s="2" t="s">
        <v>1127</v>
      </c>
      <c r="C44" s="2" t="str">
        <f>"710-0055"</f>
        <v>710-0055</v>
      </c>
      <c r="D44" s="2" t="str">
        <f>"倉敷市阿知２－５－１９"</f>
        <v>倉敷市阿知２－５－１９</v>
      </c>
      <c r="E44" s="1">
        <v>46752</v>
      </c>
    </row>
    <row r="45" spans="1:5" ht="30" customHeight="1" x14ac:dyDescent="0.4">
      <c r="A45" s="3">
        <v>42</v>
      </c>
      <c r="B45" s="2" t="s">
        <v>1130</v>
      </c>
      <c r="C45" s="2" t="str">
        <f>"701-0114"</f>
        <v>701-0114</v>
      </c>
      <c r="D45" s="2" t="str">
        <f>"倉敷市松島９７１－１"</f>
        <v>倉敷市松島９７１－１</v>
      </c>
      <c r="E45" s="1">
        <v>46752</v>
      </c>
    </row>
    <row r="46" spans="1:5" ht="30" customHeight="1" x14ac:dyDescent="0.4">
      <c r="A46" s="3">
        <v>43</v>
      </c>
      <c r="B46" s="2" t="s">
        <v>1133</v>
      </c>
      <c r="C46" s="2" t="str">
        <f>"710-0142"</f>
        <v>710-0142</v>
      </c>
      <c r="D46" s="2" t="s">
        <v>1115</v>
      </c>
      <c r="E46" s="1">
        <v>46752</v>
      </c>
    </row>
    <row r="47" spans="1:5" ht="30" customHeight="1" x14ac:dyDescent="0.4">
      <c r="A47" s="3">
        <v>44</v>
      </c>
      <c r="B47" s="2" t="s">
        <v>1131</v>
      </c>
      <c r="C47" s="2" t="str">
        <f>"710-0014"</f>
        <v>710-0014</v>
      </c>
      <c r="D47" s="2" t="str">
        <f>"倉敷市黒崎２８－３"</f>
        <v>倉敷市黒崎２８－３</v>
      </c>
      <c r="E47" s="1">
        <v>46752</v>
      </c>
    </row>
    <row r="48" spans="1:5" ht="30" customHeight="1" x14ac:dyDescent="0.4">
      <c r="A48" s="3">
        <v>45</v>
      </c>
      <c r="B48" s="2" t="s">
        <v>1134</v>
      </c>
      <c r="C48" s="2" t="str">
        <f>"711-0936"</f>
        <v>711-0936</v>
      </c>
      <c r="D48" s="2" t="s">
        <v>1026</v>
      </c>
      <c r="E48" s="1">
        <v>46752</v>
      </c>
    </row>
    <row r="49" spans="1:5" ht="30" customHeight="1" x14ac:dyDescent="0.4">
      <c r="A49" s="3">
        <v>46</v>
      </c>
      <c r="B49" s="2" t="s">
        <v>1135</v>
      </c>
      <c r="C49" s="2" t="str">
        <f>"710-0253"</f>
        <v>710-0253</v>
      </c>
      <c r="D49" s="2" t="str">
        <f>"倉敷市新倉敷駅前２－９０－２"</f>
        <v>倉敷市新倉敷駅前２－９０－２</v>
      </c>
      <c r="E49" s="1">
        <v>46752</v>
      </c>
    </row>
    <row r="50" spans="1:5" ht="30" customHeight="1" x14ac:dyDescent="0.4">
      <c r="A50" s="3">
        <v>47</v>
      </c>
      <c r="B50" s="2" t="s">
        <v>1136</v>
      </c>
      <c r="C50" s="2" t="str">
        <f>"710-0253"</f>
        <v>710-0253</v>
      </c>
      <c r="D50" s="2" t="str">
        <f>"倉敷市新倉敷駅前５－６９"</f>
        <v>倉敷市新倉敷駅前５－６９</v>
      </c>
      <c r="E50" s="1">
        <v>46752</v>
      </c>
    </row>
    <row r="51" spans="1:5" ht="30" customHeight="1" x14ac:dyDescent="0.4">
      <c r="A51" s="3">
        <v>48</v>
      </c>
      <c r="B51" s="2" t="s">
        <v>1132</v>
      </c>
      <c r="C51" s="2" t="str">
        <f>"712-8061"</f>
        <v>712-8061</v>
      </c>
      <c r="D51" s="2" t="str">
        <f>"倉敷市神田１－５－１４"</f>
        <v>倉敷市神田１－５－１４</v>
      </c>
      <c r="E51" s="1">
        <v>46752</v>
      </c>
    </row>
    <row r="52" spans="1:5" ht="30" customHeight="1" x14ac:dyDescent="0.4">
      <c r="A52" s="3">
        <v>49</v>
      </c>
      <c r="B52" s="2" t="s">
        <v>1000</v>
      </c>
      <c r="C52" s="2" t="str">
        <f>"713-8103"</f>
        <v>713-8103</v>
      </c>
      <c r="D52" s="2" t="str">
        <f>"倉敷市玉島乙島６８６１－３"</f>
        <v>倉敷市玉島乙島６８６１－３</v>
      </c>
      <c r="E52" s="1">
        <v>46387</v>
      </c>
    </row>
    <row r="53" spans="1:5" ht="30" customHeight="1" x14ac:dyDescent="0.4">
      <c r="A53" s="3">
        <v>50</v>
      </c>
      <c r="B53" s="2" t="s">
        <v>1105</v>
      </c>
      <c r="C53" s="2" t="str">
        <f>"710-1306"</f>
        <v>710-1306</v>
      </c>
      <c r="D53" s="2" t="str">
        <f>"倉敷市真備町有井６２－１"</f>
        <v>倉敷市真備町有井６２－１</v>
      </c>
      <c r="E53" s="1">
        <v>46387</v>
      </c>
    </row>
    <row r="54" spans="1:5" ht="30" customHeight="1" x14ac:dyDescent="0.4">
      <c r="A54" s="3">
        <v>51</v>
      </c>
      <c r="B54" s="2" t="s">
        <v>1160</v>
      </c>
      <c r="C54" s="2" t="str">
        <f>"713-8101"</f>
        <v>713-8101</v>
      </c>
      <c r="D54" s="2" t="str">
        <f>"倉敷市玉島上成５３７－５"</f>
        <v>倉敷市玉島上成５３７－５</v>
      </c>
      <c r="E54" s="1">
        <v>47483</v>
      </c>
    </row>
    <row r="55" spans="1:5" ht="30" customHeight="1" x14ac:dyDescent="0.4">
      <c r="A55" s="3">
        <v>52</v>
      </c>
      <c r="B55" s="2" t="s">
        <v>1099</v>
      </c>
      <c r="C55" s="2" t="str">
        <f>"710-0803"</f>
        <v>710-0803</v>
      </c>
      <c r="D55" s="2" t="str">
        <f>"倉敷市中島２３４０－７０"</f>
        <v>倉敷市中島２３４０－７０</v>
      </c>
      <c r="E55" s="1">
        <v>46387</v>
      </c>
    </row>
    <row r="56" spans="1:5" ht="30" customHeight="1" x14ac:dyDescent="0.4">
      <c r="A56" s="3">
        <v>53</v>
      </c>
      <c r="B56" s="2" t="s">
        <v>1073</v>
      </c>
      <c r="C56" s="2" t="str">
        <f>"710-0026"</f>
        <v>710-0026</v>
      </c>
      <c r="D56" s="2" t="s">
        <v>1074</v>
      </c>
      <c r="E56" s="1">
        <v>46387</v>
      </c>
    </row>
    <row r="57" spans="1:5" ht="30" customHeight="1" x14ac:dyDescent="0.4">
      <c r="A57" s="3">
        <v>54</v>
      </c>
      <c r="B57" s="2" t="s">
        <v>978</v>
      </c>
      <c r="C57" s="2" t="str">
        <f>"713-8122"</f>
        <v>713-8122</v>
      </c>
      <c r="D57" s="2" t="str">
        <f>"倉敷市玉島中央町1-23-1"</f>
        <v>倉敷市玉島中央町1-23-1</v>
      </c>
      <c r="E57" s="1">
        <v>46752</v>
      </c>
    </row>
    <row r="58" spans="1:5" ht="30" customHeight="1" x14ac:dyDescent="0.4">
      <c r="A58" s="3">
        <v>55</v>
      </c>
      <c r="B58" s="2" t="s">
        <v>1054</v>
      </c>
      <c r="C58" s="2" t="str">
        <f>"710-0803"</f>
        <v>710-0803</v>
      </c>
      <c r="D58" s="2" t="s">
        <v>1055</v>
      </c>
      <c r="E58" s="1">
        <v>46387</v>
      </c>
    </row>
    <row r="59" spans="1:5" ht="30" customHeight="1" x14ac:dyDescent="0.4">
      <c r="A59" s="3">
        <v>56</v>
      </c>
      <c r="B59" s="2" t="s">
        <v>1027</v>
      </c>
      <c r="C59" s="2" t="str">
        <f>"710-0824"</f>
        <v>710-0824</v>
      </c>
      <c r="D59" s="2" t="str">
        <f>"倉敷市白楽町１２５－１２"</f>
        <v>倉敷市白楽町１２５－１２</v>
      </c>
      <c r="E59" s="1">
        <v>46387</v>
      </c>
    </row>
    <row r="60" spans="1:5" ht="30" customHeight="1" x14ac:dyDescent="0.4">
      <c r="A60" s="3">
        <v>57</v>
      </c>
      <c r="B60" s="2" t="s">
        <v>1075</v>
      </c>
      <c r="C60" s="2" t="str">
        <f>"713-8121"</f>
        <v>713-8121</v>
      </c>
      <c r="D60" s="2" t="str">
        <f>"倉敷市玉島阿賀崎２丁目１－５"</f>
        <v>倉敷市玉島阿賀崎２丁目１－５</v>
      </c>
      <c r="E60" s="1">
        <v>46387</v>
      </c>
    </row>
    <row r="61" spans="1:5" ht="30" customHeight="1" x14ac:dyDescent="0.4">
      <c r="A61" s="3">
        <v>58</v>
      </c>
      <c r="B61" s="2" t="s">
        <v>1005</v>
      </c>
      <c r="C61" s="2" t="str">
        <f>"711-0931"</f>
        <v>711-0931</v>
      </c>
      <c r="D61" s="2" t="str">
        <f>"倉敷市児島赤崎３丁目２００５－１０"</f>
        <v>倉敷市児島赤崎３丁目２００５－１０</v>
      </c>
      <c r="E61" s="1">
        <v>46387</v>
      </c>
    </row>
    <row r="62" spans="1:5" ht="30" customHeight="1" x14ac:dyDescent="0.4">
      <c r="A62" s="3">
        <v>59</v>
      </c>
      <c r="B62" s="2" t="s">
        <v>1038</v>
      </c>
      <c r="C62" s="2" t="str">
        <f>"711-0913"</f>
        <v>711-0913</v>
      </c>
      <c r="D62" s="2" t="str">
        <f>"倉敷市児島味野１－１－１５"</f>
        <v>倉敷市児島味野１－１－１５</v>
      </c>
      <c r="E62" s="1">
        <v>46387</v>
      </c>
    </row>
    <row r="63" spans="1:5" ht="30" customHeight="1" x14ac:dyDescent="0.4">
      <c r="A63" s="3">
        <v>60</v>
      </c>
      <c r="B63" s="2" t="s">
        <v>1161</v>
      </c>
      <c r="C63" s="2" t="str">
        <f>"710-0835"</f>
        <v>710-0835</v>
      </c>
      <c r="D63" s="2" t="str">
        <f>"倉敷市四十瀬２３５－１"</f>
        <v>倉敷市四十瀬２３５－１</v>
      </c>
      <c r="E63" s="1">
        <v>47848</v>
      </c>
    </row>
    <row r="64" spans="1:5" ht="30" customHeight="1" x14ac:dyDescent="0.4">
      <c r="A64" s="3">
        <v>61</v>
      </c>
      <c r="B64" s="2" t="s">
        <v>1143</v>
      </c>
      <c r="C64" s="2" t="str">
        <f>"713-8126"</f>
        <v>713-8126</v>
      </c>
      <c r="D64" s="2" t="str">
        <f>"倉敷市玉島黒崎3911-5"</f>
        <v>倉敷市玉島黒崎3911-5</v>
      </c>
      <c r="E64" s="1">
        <v>47118</v>
      </c>
    </row>
    <row r="65" spans="1:5" ht="30" customHeight="1" x14ac:dyDescent="0.4">
      <c r="A65" s="3">
        <v>62</v>
      </c>
      <c r="B65" s="2" t="s">
        <v>1032</v>
      </c>
      <c r="C65" s="2" t="str">
        <f>"713-8102"</f>
        <v>713-8102</v>
      </c>
      <c r="D65" s="2" t="str">
        <f>"倉敷市玉島２丁目２１－１５"</f>
        <v>倉敷市玉島２丁目２１－１５</v>
      </c>
      <c r="E65" s="1">
        <v>46387</v>
      </c>
    </row>
    <row r="66" spans="1:5" ht="30" customHeight="1" x14ac:dyDescent="0.4">
      <c r="A66" s="3">
        <v>63</v>
      </c>
      <c r="B66" s="2" t="s">
        <v>1011</v>
      </c>
      <c r="C66" s="2" t="str">
        <f>"713-8113"</f>
        <v>713-8113</v>
      </c>
      <c r="D66" s="2" t="str">
        <f>"倉敷市玉島八島１７５７－１０"</f>
        <v>倉敷市玉島八島１７５７－１０</v>
      </c>
      <c r="E66" s="1">
        <v>46387</v>
      </c>
    </row>
    <row r="67" spans="1:5" ht="30" customHeight="1" x14ac:dyDescent="0.4">
      <c r="A67" s="3">
        <v>64</v>
      </c>
      <c r="B67" s="2" t="str">
        <f>"コーモト薬局　Ｐ－ＭＡＬＬ店"</f>
        <v>コーモト薬局　Ｐ－ＭＡＬＬ店</v>
      </c>
      <c r="C67" s="2" t="str">
        <f>"713-8122"</f>
        <v>713-8122</v>
      </c>
      <c r="D67" s="2" t="str">
        <f>"倉敷市玉島中央町２－３－６"</f>
        <v>倉敷市玉島中央町２－３－６</v>
      </c>
      <c r="E67" s="1">
        <v>46387</v>
      </c>
    </row>
    <row r="68" spans="1:5" ht="30" customHeight="1" x14ac:dyDescent="0.4">
      <c r="A68" s="3">
        <v>65</v>
      </c>
      <c r="B68" s="2" t="s">
        <v>1041</v>
      </c>
      <c r="C68" s="2" t="str">
        <f>"711-0921"</f>
        <v>711-0921</v>
      </c>
      <c r="D68" s="2" t="s">
        <v>1042</v>
      </c>
      <c r="E68" s="1">
        <v>46387</v>
      </c>
    </row>
    <row r="69" spans="1:5" ht="30" customHeight="1" x14ac:dyDescent="0.4">
      <c r="A69" s="3">
        <v>66</v>
      </c>
      <c r="B69" s="2" t="s">
        <v>1107</v>
      </c>
      <c r="C69" s="2" t="str">
        <f>"711-0923"</f>
        <v>711-0923</v>
      </c>
      <c r="D69" s="2" t="str">
        <f>"倉敷市児島阿津１丁目７－２２"</f>
        <v>倉敷市児島阿津１丁目７－２２</v>
      </c>
      <c r="E69" s="1">
        <v>48213</v>
      </c>
    </row>
    <row r="70" spans="1:5" ht="30" customHeight="1" x14ac:dyDescent="0.4">
      <c r="A70" s="3">
        <v>67</v>
      </c>
      <c r="B70" s="2" t="s">
        <v>1009</v>
      </c>
      <c r="C70" s="2" t="str">
        <f>"711-0903"</f>
        <v>711-0903</v>
      </c>
      <c r="D70" s="2" t="s">
        <v>1010</v>
      </c>
      <c r="E70" s="1">
        <v>46387</v>
      </c>
    </row>
    <row r="71" spans="1:5" ht="30" customHeight="1" x14ac:dyDescent="0.4">
      <c r="A71" s="3">
        <v>68</v>
      </c>
      <c r="B71" s="2" t="s">
        <v>1124</v>
      </c>
      <c r="C71" s="2" t="str">
        <f>"710-0252"</f>
        <v>710-0252</v>
      </c>
      <c r="D71" s="2" t="str">
        <f>"倉敷市玉島爪崎935-1"</f>
        <v>倉敷市玉島爪崎935-1</v>
      </c>
      <c r="E71" s="1">
        <v>46752</v>
      </c>
    </row>
    <row r="72" spans="1:5" ht="30" customHeight="1" x14ac:dyDescent="0.4">
      <c r="A72" s="3">
        <v>69</v>
      </c>
      <c r="B72" s="2" t="s">
        <v>1142</v>
      </c>
      <c r="C72" s="2" t="str">
        <f>"711-0906"</f>
        <v>711-0906</v>
      </c>
      <c r="D72" s="2" t="str">
        <f>"倉敷市児島下の町1-1-10"</f>
        <v>倉敷市児島下の町1-1-10</v>
      </c>
      <c r="E72" s="1">
        <v>47118</v>
      </c>
    </row>
    <row r="73" spans="1:5" ht="30" customHeight="1" x14ac:dyDescent="0.4">
      <c r="A73" s="3">
        <v>70</v>
      </c>
      <c r="B73" s="2" t="s">
        <v>979</v>
      </c>
      <c r="C73" s="2" t="str">
        <f>"710-0062"</f>
        <v>710-0062</v>
      </c>
      <c r="D73" s="2" t="str">
        <f>"倉敷市浜町２丁目８－８"</f>
        <v>倉敷市浜町２丁目８－８</v>
      </c>
      <c r="E73" s="1">
        <v>46387</v>
      </c>
    </row>
    <row r="74" spans="1:5" ht="30" customHeight="1" x14ac:dyDescent="0.4">
      <c r="A74" s="3">
        <v>71</v>
      </c>
      <c r="B74" s="2" t="s">
        <v>1094</v>
      </c>
      <c r="C74" s="2" t="str">
        <f>"710-0826"</f>
        <v>710-0826</v>
      </c>
      <c r="D74" s="2" t="str">
        <f>"倉敷市老松町４丁目１１－３５"</f>
        <v>倉敷市老松町４丁目１１－３５</v>
      </c>
      <c r="E74" s="1">
        <v>46387</v>
      </c>
    </row>
    <row r="75" spans="1:5" ht="30" customHeight="1" x14ac:dyDescent="0.4">
      <c r="A75" s="3">
        <v>72</v>
      </c>
      <c r="B75" s="2" t="s">
        <v>1065</v>
      </c>
      <c r="C75" s="2" t="str">
        <f>"710-0826"</f>
        <v>710-0826</v>
      </c>
      <c r="D75" s="2" t="str">
        <f>"倉敷市老松町４丁目２－４４"</f>
        <v>倉敷市老松町４丁目２－４４</v>
      </c>
      <c r="E75" s="1">
        <v>46387</v>
      </c>
    </row>
    <row r="76" spans="1:5" ht="30" customHeight="1" x14ac:dyDescent="0.4">
      <c r="A76" s="3">
        <v>73</v>
      </c>
      <c r="B76" s="2" t="s">
        <v>1007</v>
      </c>
      <c r="C76" s="2" t="str">
        <f>"711-0936"</f>
        <v>711-0936</v>
      </c>
      <c r="D76" s="2" t="str">
        <f>"倉敷市児島柳田町字遊田８６６－１７"</f>
        <v>倉敷市児島柳田町字遊田８６６－１７</v>
      </c>
      <c r="E76" s="1">
        <v>46387</v>
      </c>
    </row>
    <row r="77" spans="1:5" ht="30" customHeight="1" x14ac:dyDescent="0.4">
      <c r="A77" s="3">
        <v>74</v>
      </c>
      <c r="B77" s="2" t="s">
        <v>1108</v>
      </c>
      <c r="C77" s="2" t="str">
        <f>"710-0834"</f>
        <v>710-0834</v>
      </c>
      <c r="D77" s="2" t="s">
        <v>1109</v>
      </c>
      <c r="E77" s="1">
        <v>48213</v>
      </c>
    </row>
    <row r="78" spans="1:5" ht="30" customHeight="1" x14ac:dyDescent="0.4">
      <c r="A78" s="3">
        <v>75</v>
      </c>
      <c r="B78" s="2" t="s">
        <v>1169</v>
      </c>
      <c r="C78" s="2" t="str">
        <f>"710-0253"</f>
        <v>710-0253</v>
      </c>
      <c r="D78" s="2" t="str">
        <f>"倉敷市新倉敷駅前１丁目１０３－３"</f>
        <v>倉敷市新倉敷駅前１丁目１０３－３</v>
      </c>
      <c r="E78" s="1">
        <v>47848</v>
      </c>
    </row>
    <row r="79" spans="1:5" ht="30" customHeight="1" x14ac:dyDescent="0.4">
      <c r="A79" s="3">
        <v>76</v>
      </c>
      <c r="B79" s="2" t="s">
        <v>1123</v>
      </c>
      <c r="C79" s="2" t="str">
        <f>"713-8122"</f>
        <v>713-8122</v>
      </c>
      <c r="D79" s="2" t="str">
        <f>"倉敷市玉島中央町2-1-50"</f>
        <v>倉敷市玉島中央町2-1-50</v>
      </c>
      <c r="E79" s="1">
        <v>46387</v>
      </c>
    </row>
    <row r="80" spans="1:5" ht="30" customHeight="1" x14ac:dyDescent="0.4">
      <c r="A80" s="3">
        <v>77</v>
      </c>
      <c r="B80" s="2" t="s">
        <v>1140</v>
      </c>
      <c r="C80" s="2" t="str">
        <f>"712-8032"</f>
        <v>712-8032</v>
      </c>
      <c r="D80" s="2" t="str">
        <f>"倉敷市北畝6丁目2-39"</f>
        <v>倉敷市北畝6丁目2-39</v>
      </c>
      <c r="E80" s="1">
        <v>47118</v>
      </c>
    </row>
    <row r="81" spans="1:5" ht="30" customHeight="1" x14ac:dyDescent="0.4">
      <c r="A81" s="3">
        <v>78</v>
      </c>
      <c r="B81" s="2" t="s">
        <v>1077</v>
      </c>
      <c r="C81" s="2" t="str">
        <f>"710-0016"</f>
        <v>710-0016</v>
      </c>
      <c r="D81" s="2" t="str">
        <f>"倉敷市中庄７－１"</f>
        <v>倉敷市中庄７－１</v>
      </c>
      <c r="E81" s="1">
        <v>46387</v>
      </c>
    </row>
    <row r="82" spans="1:5" ht="30" customHeight="1" x14ac:dyDescent="0.4">
      <c r="A82" s="3">
        <v>79</v>
      </c>
      <c r="B82" s="2" t="s">
        <v>1050</v>
      </c>
      <c r="C82" s="2" t="str">
        <f>"713-8103"</f>
        <v>713-8103</v>
      </c>
      <c r="D82" s="2" t="str">
        <f>"倉敷市玉島乙島７１２５－６"</f>
        <v>倉敷市玉島乙島７１２５－６</v>
      </c>
      <c r="E82" s="1">
        <v>46387</v>
      </c>
    </row>
    <row r="83" spans="1:5" ht="30" customHeight="1" x14ac:dyDescent="0.4">
      <c r="A83" s="3">
        <v>80</v>
      </c>
      <c r="B83" s="2" t="s">
        <v>1149</v>
      </c>
      <c r="C83" s="2" t="str">
        <f>"710-0004"</f>
        <v>710-0004</v>
      </c>
      <c r="D83" s="2" t="str">
        <f>"倉敷市西坂752-7"</f>
        <v>倉敷市西坂752-7</v>
      </c>
      <c r="E83" s="1">
        <v>47483</v>
      </c>
    </row>
    <row r="84" spans="1:5" ht="30" customHeight="1" x14ac:dyDescent="0.4">
      <c r="A84" s="3">
        <v>81</v>
      </c>
      <c r="B84" s="2" t="s">
        <v>1088</v>
      </c>
      <c r="C84" s="2" t="str">
        <f>"710-0804"</f>
        <v>710-0804</v>
      </c>
      <c r="D84" s="2" t="str">
        <f>"倉敷市西阿知町新田５６１－６"</f>
        <v>倉敷市西阿知町新田５６１－６</v>
      </c>
      <c r="E84" s="1">
        <v>47118</v>
      </c>
    </row>
    <row r="85" spans="1:5" ht="30" customHeight="1" x14ac:dyDescent="0.4">
      <c r="A85" s="3">
        <v>82</v>
      </c>
      <c r="B85" s="2" t="s">
        <v>1080</v>
      </c>
      <c r="C85" s="2" t="str">
        <f>"701-0114"</f>
        <v>701-0114</v>
      </c>
      <c r="D85" s="2" t="str">
        <f>"倉敷市松島１１５４－２　マルナカマスカット店ドーム棟２Ｆ"</f>
        <v>倉敷市松島１１５４－２　マルナカマスカット店ドーム棟２Ｆ</v>
      </c>
      <c r="E85" s="1">
        <v>46387</v>
      </c>
    </row>
    <row r="86" spans="1:5" ht="30" customHeight="1" x14ac:dyDescent="0.4">
      <c r="A86" s="3">
        <v>83</v>
      </c>
      <c r="B86" s="2" t="s">
        <v>986</v>
      </c>
      <c r="C86" s="2" t="str">
        <f>"710-0804"</f>
        <v>710-0804</v>
      </c>
      <c r="D86" s="2" t="str">
        <f>"倉敷市西阿知町新田６－２"</f>
        <v>倉敷市西阿知町新田６－２</v>
      </c>
      <c r="E86" s="1">
        <v>46387</v>
      </c>
    </row>
    <row r="87" spans="1:5" ht="30" customHeight="1" x14ac:dyDescent="0.4">
      <c r="A87" s="3">
        <v>84</v>
      </c>
      <c r="B87" s="2" t="s">
        <v>1100</v>
      </c>
      <c r="C87" s="2" t="str">
        <f>"710-0834"</f>
        <v>710-0834</v>
      </c>
      <c r="D87" s="2" t="str">
        <f>"倉敷市笹沖１３２９－１"</f>
        <v>倉敷市笹沖１３２９－１</v>
      </c>
      <c r="E87" s="1">
        <v>47483</v>
      </c>
    </row>
    <row r="88" spans="1:5" ht="30" customHeight="1" x14ac:dyDescent="0.4">
      <c r="A88" s="3">
        <v>85</v>
      </c>
      <c r="B88" s="2" t="s">
        <v>1464</v>
      </c>
      <c r="C88" s="2" t="str">
        <f>"710-0261"</f>
        <v>710-0261</v>
      </c>
      <c r="D88" s="2" t="str">
        <f>"倉敷市船穂町船穂１４１３－１"</f>
        <v>倉敷市船穂町船穂１４１３－１</v>
      </c>
      <c r="E88" s="1">
        <v>46387</v>
      </c>
    </row>
    <row r="89" spans="1:5" ht="30" customHeight="1" x14ac:dyDescent="0.4">
      <c r="A89" s="3">
        <v>86</v>
      </c>
      <c r="B89" s="2" t="s">
        <v>1167</v>
      </c>
      <c r="C89" s="2" t="str">
        <f>"710-0847"</f>
        <v>710-0847</v>
      </c>
      <c r="D89" s="2" t="str">
        <f>"倉敷市東富井９０８－１"</f>
        <v>倉敷市東富井９０８－１</v>
      </c>
      <c r="E89" s="1">
        <v>47848</v>
      </c>
    </row>
    <row r="90" spans="1:5" ht="30" customHeight="1" x14ac:dyDescent="0.4">
      <c r="A90" s="3">
        <v>87</v>
      </c>
      <c r="B90" s="2" t="s">
        <v>987</v>
      </c>
      <c r="C90" s="2" t="str">
        <f>"711-0906"</f>
        <v>711-0906</v>
      </c>
      <c r="D90" s="2" t="str">
        <f>"倉敷市児島下の町２－１４－１５"</f>
        <v>倉敷市児島下の町２－１４－１５</v>
      </c>
      <c r="E90" s="1">
        <v>46387</v>
      </c>
    </row>
    <row r="91" spans="1:5" ht="30" customHeight="1" x14ac:dyDescent="0.4">
      <c r="A91" s="3">
        <v>88</v>
      </c>
      <c r="B91" s="2" t="s">
        <v>1118</v>
      </c>
      <c r="C91" s="2" t="str">
        <f>"710-0055"</f>
        <v>710-0055</v>
      </c>
      <c r="D91" s="2" t="str">
        <f>"倉敷市阿知3丁目9-1"</f>
        <v>倉敷市阿知3丁目9-1</v>
      </c>
      <c r="E91" s="1">
        <v>46387</v>
      </c>
    </row>
    <row r="92" spans="1:5" ht="30" customHeight="1" x14ac:dyDescent="0.4">
      <c r="A92" s="3">
        <v>89</v>
      </c>
      <c r="B92" s="2" t="s">
        <v>988</v>
      </c>
      <c r="C92" s="2" t="str">
        <f>"701-0111"</f>
        <v>701-0111</v>
      </c>
      <c r="D92" s="2" t="s">
        <v>989</v>
      </c>
      <c r="E92" s="1">
        <v>46387</v>
      </c>
    </row>
    <row r="93" spans="1:5" ht="30" customHeight="1" x14ac:dyDescent="0.4">
      <c r="A93" s="3">
        <v>90</v>
      </c>
      <c r="B93" s="2" t="s">
        <v>1012</v>
      </c>
      <c r="C93" s="2" t="str">
        <f>"711-0906"</f>
        <v>711-0906</v>
      </c>
      <c r="D93" s="2" t="str">
        <f>"倉敷市児島下の町５－２－１５"</f>
        <v>倉敷市児島下の町５－２－１５</v>
      </c>
      <c r="E93" s="1">
        <v>46387</v>
      </c>
    </row>
    <row r="94" spans="1:5" ht="30" customHeight="1" x14ac:dyDescent="0.4">
      <c r="A94" s="3">
        <v>91</v>
      </c>
      <c r="B94" s="2" t="s">
        <v>1028</v>
      </c>
      <c r="C94" s="2" t="str">
        <f>"712-8046"</f>
        <v>712-8046</v>
      </c>
      <c r="D94" s="2" t="str">
        <f>"倉敷市福田町古新田８１３－５"</f>
        <v>倉敷市福田町古新田８１３－５</v>
      </c>
      <c r="E94" s="1">
        <v>46387</v>
      </c>
    </row>
    <row r="95" spans="1:5" ht="30" customHeight="1" x14ac:dyDescent="0.4">
      <c r="A95" s="3">
        <v>92</v>
      </c>
      <c r="B95" s="2" t="s">
        <v>1476</v>
      </c>
      <c r="C95" s="2" t="str">
        <f>"710-1313"</f>
        <v>710-1313</v>
      </c>
      <c r="D95" s="2" t="str">
        <f>"倉敷市真備町川辺１８３４－６"</f>
        <v>倉敷市真備町川辺１８３４－６</v>
      </c>
      <c r="E95" s="1">
        <v>46387</v>
      </c>
    </row>
    <row r="96" spans="1:5" ht="30" customHeight="1" x14ac:dyDescent="0.4">
      <c r="A96" s="3">
        <v>93</v>
      </c>
      <c r="B96" s="2" t="s">
        <v>1034</v>
      </c>
      <c r="C96" s="2" t="str">
        <f>"712-8061"</f>
        <v>712-8061</v>
      </c>
      <c r="D96" s="2" t="str">
        <f>"倉敷市神田２－３－１"</f>
        <v>倉敷市神田２－３－１</v>
      </c>
      <c r="E96" s="1">
        <v>46387</v>
      </c>
    </row>
    <row r="97" spans="1:5" ht="30" customHeight="1" x14ac:dyDescent="0.4">
      <c r="A97" s="3">
        <v>94</v>
      </c>
      <c r="B97" s="2" t="s">
        <v>1068</v>
      </c>
      <c r="C97" s="2" t="str">
        <f>"712-8032"</f>
        <v>712-8032</v>
      </c>
      <c r="D97" s="2" t="str">
        <f>"倉敷市北畝７－３－６"</f>
        <v>倉敷市北畝７－３－６</v>
      </c>
      <c r="E97" s="1">
        <v>46387</v>
      </c>
    </row>
    <row r="98" spans="1:5" ht="30" customHeight="1" x14ac:dyDescent="0.4">
      <c r="A98" s="3">
        <v>95</v>
      </c>
      <c r="B98" s="2" t="s">
        <v>1089</v>
      </c>
      <c r="C98" s="2" t="str">
        <f>"710-0038"</f>
        <v>710-0038</v>
      </c>
      <c r="D98" s="2" t="s">
        <v>1090</v>
      </c>
      <c r="E98" s="1">
        <v>47118</v>
      </c>
    </row>
    <row r="99" spans="1:5" ht="30" customHeight="1" x14ac:dyDescent="0.4">
      <c r="A99" s="3">
        <v>96</v>
      </c>
      <c r="B99" s="2" t="s">
        <v>1049</v>
      </c>
      <c r="C99" s="2" t="str">
        <f>"712-8055"</f>
        <v>712-8055</v>
      </c>
      <c r="D99" s="2" t="str">
        <f>"倉敷市南畝３－１－３５"</f>
        <v>倉敷市南畝３－１－３５</v>
      </c>
      <c r="E99" s="1">
        <v>46387</v>
      </c>
    </row>
    <row r="100" spans="1:5" ht="30" customHeight="1" x14ac:dyDescent="0.4">
      <c r="A100" s="3">
        <v>97</v>
      </c>
      <c r="B100" s="2" t="s">
        <v>1057</v>
      </c>
      <c r="C100" s="2" t="str">
        <f>"711-0937"</f>
        <v>711-0937</v>
      </c>
      <c r="D100" s="2" t="str">
        <f>"倉敷市児島稗田町１８３８－１"</f>
        <v>倉敷市児島稗田町１８３８－１</v>
      </c>
      <c r="E100" s="1">
        <v>46387</v>
      </c>
    </row>
    <row r="101" spans="1:5" ht="30" customHeight="1" x14ac:dyDescent="0.4">
      <c r="A101" s="3">
        <v>98</v>
      </c>
      <c r="B101" s="2" t="s">
        <v>1008</v>
      </c>
      <c r="C101" s="2" t="str">
        <f>"713-8101"</f>
        <v>713-8101</v>
      </c>
      <c r="D101" s="2" t="str">
        <f>"倉敷市玉島上成５３９－７"</f>
        <v>倉敷市玉島上成５３９－７</v>
      </c>
      <c r="E101" s="1">
        <v>46387</v>
      </c>
    </row>
    <row r="102" spans="1:5" ht="30" customHeight="1" x14ac:dyDescent="0.4">
      <c r="A102" s="3">
        <v>99</v>
      </c>
      <c r="B102" s="2" t="s">
        <v>1063</v>
      </c>
      <c r="C102" s="2" t="str">
        <f>"710-0016"</f>
        <v>710-0016</v>
      </c>
      <c r="D102" s="2" t="s">
        <v>1064</v>
      </c>
      <c r="E102" s="1">
        <v>46387</v>
      </c>
    </row>
    <row r="103" spans="1:5" ht="30" customHeight="1" x14ac:dyDescent="0.4">
      <c r="A103" s="3">
        <v>100</v>
      </c>
      <c r="B103" s="2" t="s">
        <v>1018</v>
      </c>
      <c r="C103" s="2" t="str">
        <f>"712-8044"</f>
        <v>712-8044</v>
      </c>
      <c r="D103" s="2" t="str">
        <f>"倉敷市東塚５丁目４－２８"</f>
        <v>倉敷市東塚５丁目４－２８</v>
      </c>
      <c r="E103" s="1">
        <v>46387</v>
      </c>
    </row>
    <row r="104" spans="1:5" ht="30" customHeight="1" x14ac:dyDescent="0.4">
      <c r="A104" s="3">
        <v>101</v>
      </c>
      <c r="B104" s="2" t="s">
        <v>1051</v>
      </c>
      <c r="C104" s="2" t="str">
        <f>"712-8064"</f>
        <v>712-8064</v>
      </c>
      <c r="D104" s="2" t="str">
        <f>"倉敷市水島青葉町２－４０"</f>
        <v>倉敷市水島青葉町２－４０</v>
      </c>
      <c r="E104" s="1">
        <v>46387</v>
      </c>
    </row>
    <row r="105" spans="1:5" ht="30" customHeight="1" x14ac:dyDescent="0.4">
      <c r="A105" s="3">
        <v>102</v>
      </c>
      <c r="B105" s="2" t="s">
        <v>1031</v>
      </c>
      <c r="C105" s="2" t="str">
        <f>"712-8025"</f>
        <v>712-8025</v>
      </c>
      <c r="D105" s="2" t="str">
        <f>"倉敷市水島南春日町６－３"</f>
        <v>倉敷市水島南春日町６－３</v>
      </c>
      <c r="E105" s="1">
        <v>46387</v>
      </c>
    </row>
    <row r="106" spans="1:5" ht="30" customHeight="1" x14ac:dyDescent="0.4">
      <c r="A106" s="3">
        <v>103</v>
      </c>
      <c r="B106" s="2" t="s">
        <v>1006</v>
      </c>
      <c r="C106" s="2" t="str">
        <f>"710-0142"</f>
        <v>710-0142</v>
      </c>
      <c r="D106" s="2" t="str">
        <f>"倉敷市林３５５－１"</f>
        <v>倉敷市林３５５－１</v>
      </c>
      <c r="E106" s="1">
        <v>46387</v>
      </c>
    </row>
    <row r="107" spans="1:5" ht="30" customHeight="1" x14ac:dyDescent="0.4">
      <c r="A107" s="3">
        <v>104</v>
      </c>
      <c r="B107" s="2" t="s">
        <v>1044</v>
      </c>
      <c r="C107" s="2" t="str">
        <f>"710-0844"</f>
        <v>710-0844</v>
      </c>
      <c r="D107" s="2" t="str">
        <f>"倉敷市福井１３－１"</f>
        <v>倉敷市福井１３－１</v>
      </c>
      <c r="E107" s="1">
        <v>46387</v>
      </c>
    </row>
    <row r="108" spans="1:5" ht="30" customHeight="1" x14ac:dyDescent="0.4">
      <c r="A108" s="3">
        <v>105</v>
      </c>
      <c r="B108" s="2" t="s">
        <v>1003</v>
      </c>
      <c r="C108" s="2" t="str">
        <f>"710-0062"</f>
        <v>710-0062</v>
      </c>
      <c r="D108" s="2" t="str">
        <f>"倉敷市浜町１丁目１５－３３"</f>
        <v>倉敷市浜町１丁目１５－３３</v>
      </c>
      <c r="E108" s="1">
        <v>46387</v>
      </c>
    </row>
    <row r="109" spans="1:5" ht="30" customHeight="1" x14ac:dyDescent="0.4">
      <c r="A109" s="3">
        <v>106</v>
      </c>
      <c r="B109" s="2" t="s">
        <v>1022</v>
      </c>
      <c r="C109" s="2" t="str">
        <f>"710-0055"</f>
        <v>710-0055</v>
      </c>
      <c r="D109" s="2" t="str">
        <f>"倉敷市阿知３丁目２１－３８"</f>
        <v>倉敷市阿知３丁目２１－３８</v>
      </c>
      <c r="E109" s="1">
        <v>46387</v>
      </c>
    </row>
    <row r="110" spans="1:5" ht="30" customHeight="1" x14ac:dyDescent="0.4">
      <c r="A110" s="3">
        <v>107</v>
      </c>
      <c r="B110" s="2" t="s">
        <v>1106</v>
      </c>
      <c r="C110" s="2" t="str">
        <f>"710-1101"</f>
        <v>710-1101</v>
      </c>
      <c r="D110" s="2" t="str">
        <f>"倉敷市茶屋町２１０２－１"</f>
        <v>倉敷市茶屋町２１０２－１</v>
      </c>
      <c r="E110" s="1">
        <v>48213</v>
      </c>
    </row>
    <row r="111" spans="1:5" ht="30" customHeight="1" x14ac:dyDescent="0.4">
      <c r="A111" s="3">
        <v>108</v>
      </c>
      <c r="B111" s="2" t="s">
        <v>983</v>
      </c>
      <c r="C111" s="2" t="str">
        <f>"712-8001"</f>
        <v>712-8001</v>
      </c>
      <c r="D111" s="2" t="s">
        <v>984</v>
      </c>
      <c r="E111" s="1">
        <v>46387</v>
      </c>
    </row>
    <row r="112" spans="1:5" ht="30" customHeight="1" x14ac:dyDescent="0.4">
      <c r="A112" s="3">
        <v>109</v>
      </c>
      <c r="B112" s="2" t="s">
        <v>1155</v>
      </c>
      <c r="C112" s="2" t="str">
        <f>"710-0062"</f>
        <v>710-0062</v>
      </c>
      <c r="D112" s="2" t="str">
        <f>"倉敷市浜町２丁目８５１－２"</f>
        <v>倉敷市浜町２丁目８５１－２</v>
      </c>
      <c r="E112" s="1">
        <v>47483</v>
      </c>
    </row>
    <row r="113" spans="1:5" ht="30" customHeight="1" x14ac:dyDescent="0.4">
      <c r="A113" s="3">
        <v>110</v>
      </c>
      <c r="B113" s="2" t="s">
        <v>1078</v>
      </c>
      <c r="C113" s="2" t="str">
        <f>"710-0002"</f>
        <v>710-0002</v>
      </c>
      <c r="D113" s="2" t="str">
        <f>"倉敷市生坂２２４９－１"</f>
        <v>倉敷市生坂２２４９－１</v>
      </c>
      <c r="E113" s="1">
        <v>46387</v>
      </c>
    </row>
    <row r="114" spans="1:5" ht="30" customHeight="1" x14ac:dyDescent="0.4">
      <c r="A114" s="3">
        <v>111</v>
      </c>
      <c r="B114" s="2" t="s">
        <v>1092</v>
      </c>
      <c r="C114" s="2" t="str">
        <f>"713-8102"</f>
        <v>713-8102</v>
      </c>
      <c r="D114" s="2" t="str">
        <f>"倉敷市玉島７５０－５"</f>
        <v>倉敷市玉島７５０－５</v>
      </c>
      <c r="E114" s="1">
        <v>47118</v>
      </c>
    </row>
    <row r="115" spans="1:5" ht="30" customHeight="1" x14ac:dyDescent="0.4">
      <c r="A115" s="3">
        <v>112</v>
      </c>
      <c r="B115" s="2" t="s">
        <v>1168</v>
      </c>
      <c r="C115" s="2" t="str">
        <f>"711-0936"</f>
        <v>711-0936</v>
      </c>
      <c r="D115" s="2" t="str">
        <f>"倉敷市児島柳田町６３４－１"</f>
        <v>倉敷市児島柳田町６３４－１</v>
      </c>
      <c r="E115" s="1">
        <v>47848</v>
      </c>
    </row>
    <row r="116" spans="1:5" ht="30" customHeight="1" x14ac:dyDescent="0.4">
      <c r="A116" s="3">
        <v>113</v>
      </c>
      <c r="B116" s="2" t="s">
        <v>1152</v>
      </c>
      <c r="C116" s="2" t="str">
        <f>"710-0038"</f>
        <v>710-0038</v>
      </c>
      <c r="D116" s="2" t="str">
        <f>"倉敷市新田2683-8"</f>
        <v>倉敷市新田2683-8</v>
      </c>
      <c r="E116" s="1">
        <v>47483</v>
      </c>
    </row>
    <row r="117" spans="1:5" ht="30" customHeight="1" x14ac:dyDescent="0.4">
      <c r="A117" s="3">
        <v>114</v>
      </c>
      <c r="B117" s="2" t="s">
        <v>1121</v>
      </c>
      <c r="C117" s="2" t="str">
        <f>"710-0052"</f>
        <v>710-0052</v>
      </c>
      <c r="D117" s="2" t="str">
        <f>"倉敷市美和２－１３－２１"</f>
        <v>倉敷市美和２－１３－２１</v>
      </c>
      <c r="E117" s="1">
        <v>46387</v>
      </c>
    </row>
    <row r="118" spans="1:5" ht="30" customHeight="1" x14ac:dyDescent="0.4">
      <c r="A118" s="3">
        <v>115</v>
      </c>
      <c r="B118" s="2" t="s">
        <v>1095</v>
      </c>
      <c r="C118" s="2" t="str">
        <f>"710-0837"</f>
        <v>710-0837</v>
      </c>
      <c r="D118" s="2" t="str">
        <f>"倉敷市沖新町９２－１０"</f>
        <v>倉敷市沖新町９２－１０</v>
      </c>
      <c r="E118" s="1">
        <v>47483</v>
      </c>
    </row>
    <row r="119" spans="1:5" ht="30" customHeight="1" x14ac:dyDescent="0.4">
      <c r="A119" s="3">
        <v>116</v>
      </c>
      <c r="B119" s="2" t="s">
        <v>1052</v>
      </c>
      <c r="C119" s="2" t="str">
        <f>"710-0253"</f>
        <v>710-0253</v>
      </c>
      <c r="D119" s="2" t="s">
        <v>1053</v>
      </c>
      <c r="E119" s="1">
        <v>46387</v>
      </c>
    </row>
    <row r="120" spans="1:5" ht="30" customHeight="1" x14ac:dyDescent="0.4">
      <c r="A120" s="3">
        <v>117</v>
      </c>
      <c r="B120" s="2" t="s">
        <v>1023</v>
      </c>
      <c r="C120" s="2" t="str">
        <f>"710-0824"</f>
        <v>710-0824</v>
      </c>
      <c r="D120" s="2" t="str">
        <f>"倉敷市白楽町５５６－２１"</f>
        <v>倉敷市白楽町５５６－２１</v>
      </c>
      <c r="E120" s="1">
        <v>46387</v>
      </c>
    </row>
    <row r="121" spans="1:5" ht="30" customHeight="1" x14ac:dyDescent="0.4">
      <c r="A121" s="3">
        <v>118</v>
      </c>
      <c r="B121" s="2" t="s">
        <v>992</v>
      </c>
      <c r="C121" s="2" t="str">
        <f>"710-0142"</f>
        <v>710-0142</v>
      </c>
      <c r="D121" s="2" t="s">
        <v>993</v>
      </c>
      <c r="E121" s="1">
        <v>46387</v>
      </c>
    </row>
    <row r="122" spans="1:5" ht="30" customHeight="1" x14ac:dyDescent="0.4">
      <c r="A122" s="3">
        <v>119</v>
      </c>
      <c r="B122" s="2" t="s">
        <v>1081</v>
      </c>
      <c r="C122" s="2" t="str">
        <f>"712-8051"</f>
        <v>712-8051</v>
      </c>
      <c r="D122" s="2" t="str">
        <f>"倉敷市中畝二丁目８－２１"</f>
        <v>倉敷市中畝二丁目８－２１</v>
      </c>
      <c r="E122" s="1">
        <v>46387</v>
      </c>
    </row>
    <row r="123" spans="1:5" ht="30" customHeight="1" x14ac:dyDescent="0.4">
      <c r="A123" s="3">
        <v>120</v>
      </c>
      <c r="B123" s="2" t="s">
        <v>1056</v>
      </c>
      <c r="C123" s="2" t="str">
        <f>"701-0112"</f>
        <v>701-0112</v>
      </c>
      <c r="D123" s="2" t="str">
        <f>"倉敷市下庄４６５－５"</f>
        <v>倉敷市下庄４６５－５</v>
      </c>
      <c r="E123" s="1">
        <v>46387</v>
      </c>
    </row>
    <row r="124" spans="1:5" ht="30" customHeight="1" x14ac:dyDescent="0.4">
      <c r="A124" s="3">
        <v>121</v>
      </c>
      <c r="B124" s="2" t="s">
        <v>1096</v>
      </c>
      <c r="C124" s="2" t="str">
        <f>"712-8006"</f>
        <v>712-8006</v>
      </c>
      <c r="D124" s="2" t="s">
        <v>1097</v>
      </c>
      <c r="E124" s="1">
        <v>47483</v>
      </c>
    </row>
    <row r="125" spans="1:5" ht="30" customHeight="1" x14ac:dyDescent="0.4">
      <c r="A125" s="3">
        <v>122</v>
      </c>
      <c r="B125" s="2" t="s">
        <v>1060</v>
      </c>
      <c r="C125" s="2" t="str">
        <f>"710-0014"</f>
        <v>710-0014</v>
      </c>
      <c r="D125" s="2" t="str">
        <f>"倉敷市黒崎２６－１"</f>
        <v>倉敷市黒崎２６－１</v>
      </c>
      <c r="E125" s="1">
        <v>46387</v>
      </c>
    </row>
    <row r="126" spans="1:5" ht="30" customHeight="1" x14ac:dyDescent="0.4">
      <c r="A126" s="3">
        <v>123</v>
      </c>
      <c r="B126" s="2" t="s">
        <v>1033</v>
      </c>
      <c r="C126" s="2" t="str">
        <f>"710-0048"</f>
        <v>710-0048</v>
      </c>
      <c r="D126" s="2" t="str">
        <f>"倉敷市福島６７４－５"</f>
        <v>倉敷市福島６７４－５</v>
      </c>
      <c r="E126" s="1">
        <v>46387</v>
      </c>
    </row>
    <row r="127" spans="1:5" ht="30" customHeight="1" x14ac:dyDescent="0.4">
      <c r="A127" s="3">
        <v>124</v>
      </c>
      <c r="B127" s="2" t="s">
        <v>1082</v>
      </c>
      <c r="C127" s="2" t="str">
        <f>"710-0253"</f>
        <v>710-0253</v>
      </c>
      <c r="D127" s="2" t="s">
        <v>1083</v>
      </c>
      <c r="E127" s="1">
        <v>46387</v>
      </c>
    </row>
    <row r="128" spans="1:5" ht="30" customHeight="1" x14ac:dyDescent="0.4">
      <c r="A128" s="3">
        <v>125</v>
      </c>
      <c r="B128" s="2" t="s">
        <v>1025</v>
      </c>
      <c r="C128" s="2" t="str">
        <f>"710-0065"</f>
        <v>710-0065</v>
      </c>
      <c r="D128" s="2" t="str">
        <f>"倉敷市宮前４７－１"</f>
        <v>倉敷市宮前４７－１</v>
      </c>
      <c r="E128" s="1">
        <v>46387</v>
      </c>
    </row>
    <row r="129" spans="1:5" ht="30" customHeight="1" x14ac:dyDescent="0.4">
      <c r="A129" s="3">
        <v>126</v>
      </c>
      <c r="B129" s="2" t="s">
        <v>1076</v>
      </c>
      <c r="C129" s="2" t="str">
        <f>"713-8123"</f>
        <v>713-8123</v>
      </c>
      <c r="D129" s="2" t="str">
        <f>"倉敷市玉島柏島５２０９－１５"</f>
        <v>倉敷市玉島柏島５２０９－１５</v>
      </c>
      <c r="E129" s="1">
        <v>46387</v>
      </c>
    </row>
    <row r="130" spans="1:5" ht="30" customHeight="1" x14ac:dyDescent="0.4">
      <c r="A130" s="3">
        <v>127</v>
      </c>
      <c r="B130" s="2" t="s">
        <v>1045</v>
      </c>
      <c r="C130" s="2" t="str">
        <f>"712-8065"</f>
        <v>712-8065</v>
      </c>
      <c r="D130" s="2" t="str">
        <f>"倉敷市水島西千鳥町３－２１ノバシティ第一ビル１階"</f>
        <v>倉敷市水島西千鳥町３－２１ノバシティ第一ビル１階</v>
      </c>
      <c r="E130" s="1">
        <v>46387</v>
      </c>
    </row>
    <row r="131" spans="1:5" ht="30" customHeight="1" x14ac:dyDescent="0.4">
      <c r="A131" s="3">
        <v>128</v>
      </c>
      <c r="B131" s="2" t="s">
        <v>1030</v>
      </c>
      <c r="C131" s="2" t="str">
        <f>"712-8025"</f>
        <v>712-8025</v>
      </c>
      <c r="D131" s="2" t="str">
        <f>"倉敷市水島南春日町６－２"</f>
        <v>倉敷市水島南春日町６－２</v>
      </c>
      <c r="E131" s="1">
        <v>46387</v>
      </c>
    </row>
    <row r="132" spans="1:5" ht="30" customHeight="1" x14ac:dyDescent="0.4">
      <c r="A132" s="3">
        <v>129</v>
      </c>
      <c r="B132" s="2" t="s">
        <v>1098</v>
      </c>
      <c r="C132" s="2" t="str">
        <f>"701-0114"</f>
        <v>701-0114</v>
      </c>
      <c r="D132" s="2" t="str">
        <f>"倉敷市松島１１００－１"</f>
        <v>倉敷市松島１１００－１</v>
      </c>
      <c r="E132" s="1">
        <v>47483</v>
      </c>
    </row>
    <row r="133" spans="1:5" ht="30" customHeight="1" x14ac:dyDescent="0.4">
      <c r="A133" s="3">
        <v>130</v>
      </c>
      <c r="B133" s="2" t="s">
        <v>1062</v>
      </c>
      <c r="C133" s="2" t="str">
        <f>"710-0061"</f>
        <v>710-0061</v>
      </c>
      <c r="D133" s="2" t="str">
        <f>"倉敷市浜ノ茶屋３１７－３４"</f>
        <v>倉敷市浜ノ茶屋３１７－３４</v>
      </c>
      <c r="E133" s="1">
        <v>46387</v>
      </c>
    </row>
    <row r="134" spans="1:5" ht="30" customHeight="1" x14ac:dyDescent="0.4">
      <c r="A134" s="3">
        <v>131</v>
      </c>
      <c r="B134" s="2" t="s">
        <v>1019</v>
      </c>
      <c r="C134" s="2" t="str">
        <f>"710-0048"</f>
        <v>710-0048</v>
      </c>
      <c r="D134" s="2" t="str">
        <f>"倉敷市福島６９０－７"</f>
        <v>倉敷市福島６９０－７</v>
      </c>
      <c r="E134" s="1">
        <v>46387</v>
      </c>
    </row>
    <row r="135" spans="1:5" ht="30" customHeight="1" x14ac:dyDescent="0.4">
      <c r="A135" s="3">
        <v>132</v>
      </c>
      <c r="B135" s="2" t="s">
        <v>1047</v>
      </c>
      <c r="C135" s="2" t="str">
        <f>"710-8560"</f>
        <v>710-8560</v>
      </c>
      <c r="D135" s="2" t="s">
        <v>252</v>
      </c>
      <c r="E135" s="1">
        <v>46387</v>
      </c>
    </row>
    <row r="136" spans="1:5" ht="30" customHeight="1" x14ac:dyDescent="0.4">
      <c r="A136" s="3">
        <v>133</v>
      </c>
      <c r="B136" s="2" t="s">
        <v>1020</v>
      </c>
      <c r="C136" s="2" t="str">
        <f>"710-0047"</f>
        <v>710-0047</v>
      </c>
      <c r="D136" s="2" t="str">
        <f>"倉敷市大島３６４－１"</f>
        <v>倉敷市大島３６４－１</v>
      </c>
      <c r="E136" s="1">
        <v>46387</v>
      </c>
    </row>
    <row r="137" spans="1:5" ht="30" customHeight="1" x14ac:dyDescent="0.4">
      <c r="A137" s="3">
        <v>134</v>
      </c>
      <c r="B137" s="2" t="s">
        <v>1024</v>
      </c>
      <c r="C137" s="2" t="str">
        <f>"710-0837"</f>
        <v>710-0837</v>
      </c>
      <c r="D137" s="2" t="str">
        <f>"倉敷市沖新町８８－５"</f>
        <v>倉敷市沖新町８８－５</v>
      </c>
      <c r="E137" s="1">
        <v>46387</v>
      </c>
    </row>
    <row r="138" spans="1:5" ht="30" customHeight="1" x14ac:dyDescent="0.4">
      <c r="A138" s="3">
        <v>135</v>
      </c>
      <c r="B138" s="2" t="s">
        <v>999</v>
      </c>
      <c r="C138" s="2" t="str">
        <f>"710-0834"</f>
        <v>710-0834</v>
      </c>
      <c r="D138" s="2" t="str">
        <f>"倉敷市笹沖６１０－４"</f>
        <v>倉敷市笹沖６１０－４</v>
      </c>
      <c r="E138" s="1">
        <v>46387</v>
      </c>
    </row>
    <row r="139" spans="1:5" ht="30" customHeight="1" x14ac:dyDescent="0.4">
      <c r="A139" s="3">
        <v>136</v>
      </c>
      <c r="B139" s="2" t="s">
        <v>1067</v>
      </c>
      <c r="C139" s="2" t="str">
        <f>"710-0824"</f>
        <v>710-0824</v>
      </c>
      <c r="D139" s="2" t="str">
        <f>"倉敷市白楽町１７４－３"</f>
        <v>倉敷市白楽町１７４－３</v>
      </c>
      <c r="E139" s="1">
        <v>46387</v>
      </c>
    </row>
    <row r="140" spans="1:5" ht="30" customHeight="1" x14ac:dyDescent="0.4">
      <c r="A140" s="3">
        <v>137</v>
      </c>
      <c r="B140" s="2" t="s">
        <v>998</v>
      </c>
      <c r="C140" s="2" t="str">
        <f>"710-0014"</f>
        <v>710-0014</v>
      </c>
      <c r="D140" s="2" t="str">
        <f>"倉敷市黒崎７２－１"</f>
        <v>倉敷市黒崎７２－１</v>
      </c>
      <c r="E140" s="1">
        <v>46387</v>
      </c>
    </row>
    <row r="141" spans="1:5" ht="30" customHeight="1" x14ac:dyDescent="0.4">
      <c r="A141" s="3">
        <v>138</v>
      </c>
      <c r="B141" s="2" t="s">
        <v>1170</v>
      </c>
      <c r="C141" s="2" t="str">
        <f>"711-0912"</f>
        <v>711-0912</v>
      </c>
      <c r="D141" s="2" t="str">
        <f>"倉敷市児島小川町３６８５－３"</f>
        <v>倉敷市児島小川町３６８５－３</v>
      </c>
      <c r="E141" s="1">
        <v>47848</v>
      </c>
    </row>
    <row r="142" spans="1:5" ht="30" customHeight="1" x14ac:dyDescent="0.4">
      <c r="A142" s="3">
        <v>139</v>
      </c>
      <c r="B142" s="2" t="s">
        <v>1039</v>
      </c>
      <c r="C142" s="2" t="str">
        <f>"710-0026"</f>
        <v>710-0026</v>
      </c>
      <c r="D142" s="2" t="s">
        <v>1040</v>
      </c>
      <c r="E142" s="1">
        <v>46387</v>
      </c>
    </row>
    <row r="143" spans="1:5" ht="30" customHeight="1" x14ac:dyDescent="0.4">
      <c r="A143" s="3">
        <v>140</v>
      </c>
      <c r="B143" s="2" t="s">
        <v>1069</v>
      </c>
      <c r="C143" s="2" t="str">
        <f>"711-0917"</f>
        <v>711-0917</v>
      </c>
      <c r="D143" s="2" t="s">
        <v>1070</v>
      </c>
      <c r="E143" s="1">
        <v>46387</v>
      </c>
    </row>
    <row r="144" spans="1:5" ht="30" customHeight="1" x14ac:dyDescent="0.4">
      <c r="A144" s="3">
        <v>141</v>
      </c>
      <c r="B144" s="2" t="s">
        <v>1021</v>
      </c>
      <c r="C144" s="2" t="str">
        <f>"712-8031"</f>
        <v>712-8031</v>
      </c>
      <c r="D144" s="2" t="s">
        <v>135</v>
      </c>
      <c r="E144" s="1">
        <v>47848</v>
      </c>
    </row>
    <row r="145" spans="1:5" ht="30" customHeight="1" x14ac:dyDescent="0.4">
      <c r="A145" s="3">
        <v>142</v>
      </c>
      <c r="B145" s="2" t="s">
        <v>1174</v>
      </c>
      <c r="C145" s="2" t="str">
        <f>"710-0253"</f>
        <v>710-0253</v>
      </c>
      <c r="D145" s="2" t="str">
        <f>"倉敷市新倉敷駅前４－１０２"</f>
        <v>倉敷市新倉敷駅前４－１０２</v>
      </c>
      <c r="E145" s="1">
        <v>47848</v>
      </c>
    </row>
    <row r="146" spans="1:5" ht="30" customHeight="1" x14ac:dyDescent="0.4">
      <c r="A146" s="3">
        <v>143</v>
      </c>
      <c r="B146" s="2" t="s">
        <v>1173</v>
      </c>
      <c r="C146" s="2" t="str">
        <f>"701-0114"</f>
        <v>701-0114</v>
      </c>
      <c r="D146" s="2" t="str">
        <f>"倉敷市松島１０６５－１　松島創宅ビル２０４"</f>
        <v>倉敷市松島１０６５－１　松島創宅ビル２０４</v>
      </c>
      <c r="E146" s="1">
        <v>47848</v>
      </c>
    </row>
    <row r="147" spans="1:5" ht="30" customHeight="1" x14ac:dyDescent="0.4">
      <c r="A147" s="3">
        <v>144</v>
      </c>
      <c r="B147" s="2" t="s">
        <v>1158</v>
      </c>
      <c r="C147" s="2" t="str">
        <f>"710-1101"</f>
        <v>710-1101</v>
      </c>
      <c r="D147" s="2" t="s">
        <v>1159</v>
      </c>
      <c r="E147" s="1">
        <v>47848</v>
      </c>
    </row>
    <row r="148" spans="1:5" ht="30" customHeight="1" x14ac:dyDescent="0.4">
      <c r="A148" s="3">
        <v>145</v>
      </c>
      <c r="B148" s="2" t="s">
        <v>1150</v>
      </c>
      <c r="C148" s="2" t="str">
        <f>"710-0811"</f>
        <v>710-0811</v>
      </c>
      <c r="D148" s="2" t="str">
        <f>"倉敷市川入８５４－１"</f>
        <v>倉敷市川入８５４－１</v>
      </c>
      <c r="E148" s="1">
        <v>47483</v>
      </c>
    </row>
    <row r="149" spans="1:5" ht="30" customHeight="1" x14ac:dyDescent="0.4">
      <c r="A149" s="3">
        <v>146</v>
      </c>
      <c r="B149" s="2" t="s">
        <v>1151</v>
      </c>
      <c r="C149" s="2" t="str">
        <f>"711-0921"</f>
        <v>711-0921</v>
      </c>
      <c r="D149" s="2" t="str">
        <f>"倉敷市児島駅前２－３２"</f>
        <v>倉敷市児島駅前２－３２</v>
      </c>
      <c r="E149" s="1">
        <v>47483</v>
      </c>
    </row>
    <row r="150" spans="1:5" ht="30" customHeight="1" x14ac:dyDescent="0.4">
      <c r="A150" s="3">
        <v>147</v>
      </c>
      <c r="B150" s="2" t="s">
        <v>1125</v>
      </c>
      <c r="C150" s="2" t="str">
        <f>"710-0831"</f>
        <v>710-0831</v>
      </c>
      <c r="D150" s="2" t="str">
        <f>"倉敷市田ノ上１１１４－３"</f>
        <v>倉敷市田ノ上１１１４－３</v>
      </c>
      <c r="E150" s="1">
        <v>46752</v>
      </c>
    </row>
    <row r="151" spans="1:5" ht="30" customHeight="1" x14ac:dyDescent="0.4">
      <c r="A151" s="3">
        <v>148</v>
      </c>
      <c r="B151" s="2" t="s">
        <v>1119</v>
      </c>
      <c r="C151" s="2" t="str">
        <f>"710-0803"</f>
        <v>710-0803</v>
      </c>
      <c r="D151" s="2" t="str">
        <f>"倉敷市中島９９７－３"</f>
        <v>倉敷市中島９９７－３</v>
      </c>
      <c r="E151" s="1">
        <v>46387</v>
      </c>
    </row>
    <row r="152" spans="1:5" ht="30" customHeight="1" x14ac:dyDescent="0.4">
      <c r="A152" s="3">
        <v>149</v>
      </c>
      <c r="B152" s="2" t="s">
        <v>1091</v>
      </c>
      <c r="C152" s="2" t="str">
        <f>"713-8122"</f>
        <v>713-8122</v>
      </c>
      <c r="D152" s="2" t="str">
        <f>"倉敷市玉島中央町２丁目５－３－２"</f>
        <v>倉敷市玉島中央町２丁目５－３－２</v>
      </c>
      <c r="E152" s="1">
        <v>47118</v>
      </c>
    </row>
    <row r="153" spans="1:5" ht="30" customHeight="1" x14ac:dyDescent="0.4">
      <c r="A153" s="3">
        <v>150</v>
      </c>
      <c r="B153" s="2" t="s">
        <v>1144</v>
      </c>
      <c r="C153" s="2" t="str">
        <f>"711-0906"</f>
        <v>711-0906</v>
      </c>
      <c r="D153" s="2" t="str">
        <f>"倉敷市児島下の町10-2-4"</f>
        <v>倉敷市児島下の町10-2-4</v>
      </c>
      <c r="E153" s="1">
        <v>47118</v>
      </c>
    </row>
    <row r="154" spans="1:5" ht="30" customHeight="1" x14ac:dyDescent="0.4">
      <c r="A154" s="3">
        <v>151</v>
      </c>
      <c r="B154" s="2" t="s">
        <v>1037</v>
      </c>
      <c r="C154" s="2" t="str">
        <f>"710-0803"</f>
        <v>710-0803</v>
      </c>
      <c r="D154" s="2" t="str">
        <f>"倉敷市中島８５８－６"</f>
        <v>倉敷市中島８５８－６</v>
      </c>
      <c r="E154" s="1">
        <v>46387</v>
      </c>
    </row>
    <row r="155" spans="1:5" ht="30" customHeight="1" x14ac:dyDescent="0.4">
      <c r="A155" s="3">
        <v>152</v>
      </c>
      <c r="B155" s="2" t="s">
        <v>1013</v>
      </c>
      <c r="C155" s="2" t="str">
        <f>"713-8125"</f>
        <v>713-8125</v>
      </c>
      <c r="D155" s="2" t="s">
        <v>1014</v>
      </c>
      <c r="E155" s="1">
        <v>46387</v>
      </c>
    </row>
    <row r="156" spans="1:5" ht="30" customHeight="1" x14ac:dyDescent="0.4">
      <c r="A156" s="3">
        <v>153</v>
      </c>
      <c r="B156" s="2" t="s">
        <v>1085</v>
      </c>
      <c r="C156" s="2" t="str">
        <f>"701-0112"</f>
        <v>701-0112</v>
      </c>
      <c r="D156" s="2" t="str">
        <f>"倉敷市下庄４４１－５"</f>
        <v>倉敷市下庄４４１－５</v>
      </c>
      <c r="E156" s="1">
        <v>46387</v>
      </c>
    </row>
    <row r="157" spans="1:5" ht="30" customHeight="1" x14ac:dyDescent="0.4">
      <c r="A157" s="3">
        <v>154</v>
      </c>
      <c r="B157" s="2" t="s">
        <v>1004</v>
      </c>
      <c r="C157" s="2" t="str">
        <f>"710-0133"</f>
        <v>710-0133</v>
      </c>
      <c r="D157" s="2" t="str">
        <f>"倉敷市藤戸町藤戸２－１１"</f>
        <v>倉敷市藤戸町藤戸２－１１</v>
      </c>
      <c r="E157" s="1">
        <v>46387</v>
      </c>
    </row>
    <row r="158" spans="1:5" ht="30" customHeight="1" x14ac:dyDescent="0.4">
      <c r="A158" s="3">
        <v>155</v>
      </c>
      <c r="B158" s="2" t="s">
        <v>1036</v>
      </c>
      <c r="C158" s="2" t="str">
        <f>"710-0145"</f>
        <v>710-0145</v>
      </c>
      <c r="D158" s="2" t="str">
        <f>"倉敷市福江１１２－１"</f>
        <v>倉敷市福江１１２－１</v>
      </c>
      <c r="E158" s="1">
        <v>46387</v>
      </c>
    </row>
    <row r="159" spans="1:5" ht="30" customHeight="1" x14ac:dyDescent="0.4">
      <c r="A159" s="3">
        <v>156</v>
      </c>
      <c r="B159" s="2" t="s">
        <v>982</v>
      </c>
      <c r="C159" s="2" t="str">
        <f>"710-0063"</f>
        <v>710-0063</v>
      </c>
      <c r="D159" s="2" t="str">
        <f>"倉敷市日ノ出町２丁目１－８"</f>
        <v>倉敷市日ノ出町２丁目１－８</v>
      </c>
      <c r="E159" s="1">
        <v>46387</v>
      </c>
    </row>
    <row r="160" spans="1:5" ht="30" customHeight="1" x14ac:dyDescent="0.4">
      <c r="A160" s="3">
        <v>157</v>
      </c>
      <c r="B160" s="2" t="s">
        <v>1154</v>
      </c>
      <c r="C160" s="2" t="str">
        <f>"710-0814"</f>
        <v>710-0814</v>
      </c>
      <c r="D160" s="2" t="str">
        <f>"倉敷市石見町４－６　フィロソフィアビル１Ｆ"</f>
        <v>倉敷市石見町４－６　フィロソフィアビル１Ｆ</v>
      </c>
      <c r="E160" s="1">
        <v>47483</v>
      </c>
    </row>
    <row r="161" spans="1:5" ht="30" customHeight="1" x14ac:dyDescent="0.4">
      <c r="A161" s="3">
        <v>158</v>
      </c>
      <c r="B161" s="2" t="s">
        <v>1157</v>
      </c>
      <c r="C161" s="2" t="str">
        <f>"711-0922"</f>
        <v>711-0922</v>
      </c>
      <c r="D161" s="2" t="str">
        <f>"倉敷市児島元浜町７８３－６"</f>
        <v>倉敷市児島元浜町７８３－６</v>
      </c>
      <c r="E161" s="1">
        <v>47483</v>
      </c>
    </row>
    <row r="162" spans="1:5" ht="30" customHeight="1" x14ac:dyDescent="0.4">
      <c r="A162" s="3">
        <v>159</v>
      </c>
      <c r="B162" s="2" t="s">
        <v>1086</v>
      </c>
      <c r="C162" s="2" t="str">
        <f>"710-0004"</f>
        <v>710-0004</v>
      </c>
      <c r="D162" s="2" t="str">
        <f>"倉敷市西坂１４８０－１５"</f>
        <v>倉敷市西坂１４８０－１５</v>
      </c>
      <c r="E162" s="1">
        <v>46752</v>
      </c>
    </row>
    <row r="163" spans="1:5" ht="30" customHeight="1" x14ac:dyDescent="0.4">
      <c r="A163" s="3">
        <v>160</v>
      </c>
      <c r="B163" s="2" t="s">
        <v>1171</v>
      </c>
      <c r="C163" s="2" t="str">
        <f>"710-0833"</f>
        <v>710-0833</v>
      </c>
      <c r="D163" s="2" t="s">
        <v>1172</v>
      </c>
      <c r="E163" s="1">
        <v>47848</v>
      </c>
    </row>
    <row r="164" spans="1:5" ht="30" customHeight="1" x14ac:dyDescent="0.4">
      <c r="A164" s="3">
        <v>161</v>
      </c>
      <c r="B164" s="2" t="s">
        <v>1071</v>
      </c>
      <c r="C164" s="2" t="str">
        <f>"710-1313"</f>
        <v>710-1313</v>
      </c>
      <c r="D164" s="2" t="s">
        <v>1072</v>
      </c>
      <c r="E164" s="1">
        <v>46387</v>
      </c>
    </row>
    <row r="165" spans="1:5" ht="30" customHeight="1" x14ac:dyDescent="0.4">
      <c r="A165" s="3">
        <v>162</v>
      </c>
      <c r="B165" s="2" t="s">
        <v>995</v>
      </c>
      <c r="C165" s="2" t="str">
        <f>"710-1101"</f>
        <v>710-1101</v>
      </c>
      <c r="D165" s="2" t="s">
        <v>996</v>
      </c>
      <c r="E165" s="1">
        <v>46387</v>
      </c>
    </row>
    <row r="166" spans="1:5" ht="30" customHeight="1" x14ac:dyDescent="0.4">
      <c r="A166" s="3">
        <v>163</v>
      </c>
      <c r="B166" s="2" t="s">
        <v>1046</v>
      </c>
      <c r="C166" s="2" t="str">
        <f>"711-0921"</f>
        <v>711-0921</v>
      </c>
      <c r="D166" s="2" t="str">
        <f>"倉敷市児島駅前１－９０"</f>
        <v>倉敷市児島駅前１－９０</v>
      </c>
      <c r="E166" s="1">
        <v>46387</v>
      </c>
    </row>
    <row r="167" spans="1:5" ht="30" customHeight="1" x14ac:dyDescent="0.4">
      <c r="A167" s="3">
        <v>164</v>
      </c>
      <c r="B167" s="2" t="s">
        <v>1079</v>
      </c>
      <c r="C167" s="2" t="str">
        <f>"711-0906"</f>
        <v>711-0906</v>
      </c>
      <c r="D167" s="2" t="str">
        <f>"倉敷市児島下の町１丁目１１－５－４"</f>
        <v>倉敷市児島下の町１丁目１１－５－４</v>
      </c>
      <c r="E167" s="1">
        <v>46387</v>
      </c>
    </row>
    <row r="168" spans="1:5" ht="30" customHeight="1" x14ac:dyDescent="0.4">
      <c r="A168" s="3">
        <v>165</v>
      </c>
      <c r="B168" s="2" t="s">
        <v>1061</v>
      </c>
      <c r="C168" s="2" t="str">
        <f>"710-1101"</f>
        <v>710-1101</v>
      </c>
      <c r="D168" s="2" t="str">
        <f>"倉敷市茶屋町４９４－６"</f>
        <v>倉敷市茶屋町４９４－６</v>
      </c>
      <c r="E168" s="1">
        <v>46387</v>
      </c>
    </row>
    <row r="169" spans="1:5" ht="30" customHeight="1" x14ac:dyDescent="0.4">
      <c r="A169" s="3">
        <v>166</v>
      </c>
      <c r="B169" s="2" t="s">
        <v>1093</v>
      </c>
      <c r="C169" s="2" t="str">
        <f>"710-0065"</f>
        <v>710-0065</v>
      </c>
      <c r="D169" s="2" t="str">
        <f>"倉敷市宮前481-1　グランパス21　102号"</f>
        <v>倉敷市宮前481-1　グランパス21　102号</v>
      </c>
      <c r="E169" s="1">
        <v>47118</v>
      </c>
    </row>
    <row r="170" spans="1:5" ht="30" customHeight="1" x14ac:dyDescent="0.4">
      <c r="A170" s="3">
        <v>167</v>
      </c>
      <c r="B170" s="2" t="s">
        <v>1120</v>
      </c>
      <c r="C170" s="2" t="str">
        <f>"710-0253"</f>
        <v>710-0253</v>
      </c>
      <c r="D170" s="2" t="str">
        <f>"倉敷市新倉敷駅前5丁目16-6"</f>
        <v>倉敷市新倉敷駅前5丁目16-6</v>
      </c>
      <c r="E170" s="1">
        <v>46387</v>
      </c>
    </row>
    <row r="171" spans="1:5" ht="30" customHeight="1" x14ac:dyDescent="0.4">
      <c r="A171" s="3">
        <v>168</v>
      </c>
      <c r="B171" s="2" t="s">
        <v>1164</v>
      </c>
      <c r="C171" s="2" t="str">
        <f>"710-0803"</f>
        <v>710-0803</v>
      </c>
      <c r="D171" s="2" t="str">
        <f>"倉敷市中島３０１２－３"</f>
        <v>倉敷市中島３０１２－３</v>
      </c>
      <c r="E171" s="1">
        <v>47848</v>
      </c>
    </row>
    <row r="172" spans="1:5" ht="30" customHeight="1" x14ac:dyDescent="0.4">
      <c r="A172" s="3">
        <v>169</v>
      </c>
      <c r="B172" s="2" t="s">
        <v>1165</v>
      </c>
      <c r="C172" s="2" t="str">
        <f>"710-0816"</f>
        <v>710-0816</v>
      </c>
      <c r="D172" s="2" t="str">
        <f>"倉敷市八王寺町１８０－３８"</f>
        <v>倉敷市八王寺町１８０－３８</v>
      </c>
      <c r="E172" s="1">
        <v>47848</v>
      </c>
    </row>
    <row r="173" spans="1:5" ht="30" customHeight="1" x14ac:dyDescent="0.4">
      <c r="A173" s="3">
        <v>170</v>
      </c>
      <c r="B173" s="2" t="s">
        <v>1163</v>
      </c>
      <c r="C173" s="2" t="str">
        <f>"712-8059"</f>
        <v>712-8059</v>
      </c>
      <c r="D173" s="2" t="str">
        <f>"倉敷市水島西常盤町１０－１８－７"</f>
        <v>倉敷市水島西常盤町１０－１８－７</v>
      </c>
      <c r="E173" s="1">
        <v>47848</v>
      </c>
    </row>
    <row r="174" spans="1:5" ht="30" customHeight="1" x14ac:dyDescent="0.4">
      <c r="A174" s="3">
        <v>171</v>
      </c>
      <c r="B174" s="2" t="s">
        <v>1139</v>
      </c>
      <c r="C174" s="2" t="str">
        <f>"701-0114"</f>
        <v>701-0114</v>
      </c>
      <c r="D174" s="2" t="str">
        <f>"倉敷市松島1152-19"</f>
        <v>倉敷市松島1152-19</v>
      </c>
      <c r="E174" s="1">
        <v>46752</v>
      </c>
    </row>
    <row r="175" spans="1:5" ht="30" customHeight="1" x14ac:dyDescent="0.4">
      <c r="A175" s="3">
        <v>172</v>
      </c>
      <c r="B175" s="2" t="s">
        <v>990</v>
      </c>
      <c r="C175" s="2" t="str">
        <f>"712-8001"</f>
        <v>712-8001</v>
      </c>
      <c r="D175" s="2" t="str">
        <f>"倉敷市連島町西之浦３４０－３"</f>
        <v>倉敷市連島町西之浦３４０－３</v>
      </c>
      <c r="E175" s="1">
        <v>46387</v>
      </c>
    </row>
    <row r="176" spans="1:5" ht="30" customHeight="1" x14ac:dyDescent="0.4">
      <c r="A176" s="3">
        <v>173</v>
      </c>
      <c r="B176" s="2" t="s">
        <v>980</v>
      </c>
      <c r="C176" s="2" t="str">
        <f>"710-0816"</f>
        <v>710-0816</v>
      </c>
      <c r="D176" s="2" t="str">
        <f>"倉敷市八王寺町６７－１０"</f>
        <v>倉敷市八王寺町６７－１０</v>
      </c>
      <c r="E176" s="1">
        <v>46387</v>
      </c>
    </row>
    <row r="177" spans="1:5" ht="30" customHeight="1" x14ac:dyDescent="0.4">
      <c r="A177" s="3">
        <v>174</v>
      </c>
      <c r="B177" s="2" t="s">
        <v>1001</v>
      </c>
      <c r="C177" s="2" t="str">
        <f>"711-0921"</f>
        <v>711-0921</v>
      </c>
      <c r="D177" s="2" t="s">
        <v>1002</v>
      </c>
      <c r="E177" s="1">
        <v>46387</v>
      </c>
    </row>
    <row r="178" spans="1:5" ht="30" customHeight="1" x14ac:dyDescent="0.4">
      <c r="A178" s="3">
        <v>175</v>
      </c>
      <c r="B178" s="2" t="s">
        <v>972</v>
      </c>
      <c r="C178" s="2" t="str">
        <f>"701-0102"</f>
        <v>701-0102</v>
      </c>
      <c r="D178" s="2" t="str">
        <f>"倉敷市庄新町９－１－１２"</f>
        <v>倉敷市庄新町９－１－１２</v>
      </c>
      <c r="E178" s="1">
        <v>46387</v>
      </c>
    </row>
    <row r="179" spans="1:5" ht="30" customHeight="1" x14ac:dyDescent="0.4">
      <c r="A179" s="3">
        <v>176</v>
      </c>
      <c r="B179" s="2" t="s">
        <v>977</v>
      </c>
      <c r="C179" s="2" t="str">
        <f>"709-4613"</f>
        <v>709-4613</v>
      </c>
      <c r="D179" s="2" t="str">
        <f>"津山市宮尾２８５－２１"</f>
        <v>津山市宮尾２８５－２１</v>
      </c>
      <c r="E179" s="1">
        <v>48213</v>
      </c>
    </row>
    <row r="180" spans="1:5" ht="30" customHeight="1" x14ac:dyDescent="0.4">
      <c r="A180" s="3">
        <v>177</v>
      </c>
      <c r="B180" s="2" t="s">
        <v>1193</v>
      </c>
      <c r="C180" s="2" t="str">
        <f>"708-0001"</f>
        <v>708-0001</v>
      </c>
      <c r="D180" s="2" t="str">
        <f>"津山市小原１０７－２"</f>
        <v>津山市小原１０７－２</v>
      </c>
      <c r="E180" s="1">
        <v>46387</v>
      </c>
    </row>
    <row r="181" spans="1:5" ht="30" customHeight="1" x14ac:dyDescent="0.4">
      <c r="A181" s="3">
        <v>178</v>
      </c>
      <c r="B181" s="2" t="s">
        <v>1217</v>
      </c>
      <c r="C181" s="2" t="str">
        <f>"708-0842"</f>
        <v>708-0842</v>
      </c>
      <c r="D181" s="2" t="str">
        <f>"津山市河辺９３３－１３"</f>
        <v>津山市河辺９３３－１３</v>
      </c>
      <c r="E181" s="1">
        <v>46387</v>
      </c>
    </row>
    <row r="182" spans="1:5" ht="30" customHeight="1" x14ac:dyDescent="0.4">
      <c r="A182" s="3">
        <v>179</v>
      </c>
      <c r="B182" s="2" t="s">
        <v>1500</v>
      </c>
      <c r="C182" s="2" t="str">
        <f>"708-1224"</f>
        <v>708-1224</v>
      </c>
      <c r="D182" s="2" t="str">
        <f>"津山市上村６１－４"</f>
        <v>津山市上村６１－４</v>
      </c>
      <c r="E182" s="1">
        <v>46387</v>
      </c>
    </row>
    <row r="183" spans="1:5" ht="30" customHeight="1" x14ac:dyDescent="0.4">
      <c r="A183" s="3">
        <v>180</v>
      </c>
      <c r="B183" s="2" t="s">
        <v>1220</v>
      </c>
      <c r="C183" s="2" t="str">
        <f>"708-1125"</f>
        <v>708-1125</v>
      </c>
      <c r="D183" s="2" t="str">
        <f>"津山市高野本郷１２５８－９"</f>
        <v>津山市高野本郷１２５８－９</v>
      </c>
      <c r="E183" s="1">
        <v>46387</v>
      </c>
    </row>
    <row r="184" spans="1:5" ht="30" customHeight="1" x14ac:dyDescent="0.4">
      <c r="A184" s="3">
        <v>181</v>
      </c>
      <c r="B184" s="2" t="s">
        <v>1497</v>
      </c>
      <c r="C184" s="2" t="str">
        <f>"708-1205"</f>
        <v>708-1205</v>
      </c>
      <c r="D184" s="2" t="str">
        <f>"津山市新野東１８１０－６１"</f>
        <v>津山市新野東１８１０－６１</v>
      </c>
      <c r="E184" s="1">
        <v>46387</v>
      </c>
    </row>
    <row r="185" spans="1:5" ht="30" customHeight="1" x14ac:dyDescent="0.4">
      <c r="A185" s="3">
        <v>182</v>
      </c>
      <c r="B185" s="2" t="s">
        <v>1233</v>
      </c>
      <c r="C185" s="2" t="str">
        <f>"708-0842"</f>
        <v>708-0842</v>
      </c>
      <c r="D185" s="2" t="s">
        <v>1234</v>
      </c>
      <c r="E185" s="1">
        <v>46752</v>
      </c>
    </row>
    <row r="186" spans="1:5" ht="30" customHeight="1" x14ac:dyDescent="0.4">
      <c r="A186" s="3">
        <v>183</v>
      </c>
      <c r="B186" s="2" t="s">
        <v>1222</v>
      </c>
      <c r="C186" s="2" t="str">
        <f>"708-0842"</f>
        <v>708-0842</v>
      </c>
      <c r="D186" s="2" t="str">
        <f>"津山市河辺１０００－１"</f>
        <v>津山市河辺１０００－１</v>
      </c>
      <c r="E186" s="1">
        <v>46387</v>
      </c>
    </row>
    <row r="187" spans="1:5" ht="30" customHeight="1" x14ac:dyDescent="0.4">
      <c r="A187" s="3">
        <v>184</v>
      </c>
      <c r="B187" s="2" t="s">
        <v>1184</v>
      </c>
      <c r="C187" s="2" t="str">
        <f>"708-0013"</f>
        <v>708-0013</v>
      </c>
      <c r="D187" s="2" t="str">
        <f>"津山市二宮８１－２"</f>
        <v>津山市二宮８１－２</v>
      </c>
      <c r="E187" s="1">
        <v>46387</v>
      </c>
    </row>
    <row r="188" spans="1:5" ht="30" customHeight="1" x14ac:dyDescent="0.4">
      <c r="A188" s="3">
        <v>185</v>
      </c>
      <c r="B188" s="2" t="s">
        <v>1198</v>
      </c>
      <c r="C188" s="2" t="str">
        <f>"708-0814"</f>
        <v>708-0814</v>
      </c>
      <c r="D188" s="2" t="str">
        <f>"津山市東一宮４３－１０"</f>
        <v>津山市東一宮４３－１０</v>
      </c>
      <c r="E188" s="1">
        <v>46387</v>
      </c>
    </row>
    <row r="189" spans="1:5" ht="30" customHeight="1" x14ac:dyDescent="0.4">
      <c r="A189" s="3">
        <v>186</v>
      </c>
      <c r="B189" s="2" t="s">
        <v>1247</v>
      </c>
      <c r="C189" s="2" t="str">
        <f>"708-0052"</f>
        <v>708-0052</v>
      </c>
      <c r="D189" s="2" t="str">
        <f>"津山市田町35-1"</f>
        <v>津山市田町35-1</v>
      </c>
      <c r="E189" s="1">
        <v>46752</v>
      </c>
    </row>
    <row r="190" spans="1:5" ht="30" customHeight="1" x14ac:dyDescent="0.4">
      <c r="A190" s="3">
        <v>187</v>
      </c>
      <c r="B190" s="2" t="s">
        <v>1224</v>
      </c>
      <c r="C190" s="2" t="str">
        <f>"708-0841"</f>
        <v>708-0841</v>
      </c>
      <c r="D190" s="2" t="str">
        <f>"津山市川崎１７５６－２２"</f>
        <v>津山市川崎１７５６－２２</v>
      </c>
      <c r="E190" s="1">
        <v>46387</v>
      </c>
    </row>
    <row r="191" spans="1:5" ht="30" customHeight="1" x14ac:dyDescent="0.4">
      <c r="A191" s="3">
        <v>188</v>
      </c>
      <c r="B191" s="2" t="s">
        <v>1185</v>
      </c>
      <c r="C191" s="2" t="str">
        <f>"708-0051"</f>
        <v>708-0051</v>
      </c>
      <c r="D191" s="2" t="str">
        <f>"津山市椿高下１３１－３"</f>
        <v>津山市椿高下１３１－３</v>
      </c>
      <c r="E191" s="1">
        <v>46387</v>
      </c>
    </row>
    <row r="192" spans="1:5" ht="30" customHeight="1" x14ac:dyDescent="0.4">
      <c r="A192" s="3">
        <v>189</v>
      </c>
      <c r="B192" s="2" t="s">
        <v>1237</v>
      </c>
      <c r="C192" s="2" t="str">
        <f>"708-0806"</f>
        <v>708-0806</v>
      </c>
      <c r="D192" s="2" t="str">
        <f>"津山市大田４５２－４"</f>
        <v>津山市大田４５２－４</v>
      </c>
      <c r="E192" s="1">
        <v>47118</v>
      </c>
    </row>
    <row r="193" spans="1:5" ht="30" customHeight="1" x14ac:dyDescent="0.4">
      <c r="A193" s="3">
        <v>190</v>
      </c>
      <c r="B193" s="2" t="s">
        <v>1205</v>
      </c>
      <c r="C193" s="2" t="str">
        <f>"708-0024"</f>
        <v>708-0024</v>
      </c>
      <c r="D193" s="2" t="s">
        <v>1206</v>
      </c>
      <c r="E193" s="1">
        <v>46387</v>
      </c>
    </row>
    <row r="194" spans="1:5" ht="30" customHeight="1" x14ac:dyDescent="0.4">
      <c r="A194" s="3">
        <v>191</v>
      </c>
      <c r="B194" s="2" t="s">
        <v>1226</v>
      </c>
      <c r="C194" s="2" t="str">
        <f>"708-0824"</f>
        <v>708-0824</v>
      </c>
      <c r="D194" s="2" t="str">
        <f>"津山市沼８４１－４"</f>
        <v>津山市沼８４１－４</v>
      </c>
      <c r="E194" s="1">
        <v>46387</v>
      </c>
    </row>
    <row r="195" spans="1:5" ht="30" customHeight="1" x14ac:dyDescent="0.4">
      <c r="A195" s="3">
        <v>192</v>
      </c>
      <c r="B195" s="2" t="s">
        <v>1225</v>
      </c>
      <c r="C195" s="2" t="str">
        <f>"708-0842"</f>
        <v>708-0842</v>
      </c>
      <c r="D195" s="2" t="str">
        <f>"津山市河辺９３３－１６"</f>
        <v>津山市河辺９３３－１６</v>
      </c>
      <c r="E195" s="1">
        <v>46387</v>
      </c>
    </row>
    <row r="196" spans="1:5" ht="30" customHeight="1" x14ac:dyDescent="0.4">
      <c r="A196" s="3">
        <v>193</v>
      </c>
      <c r="B196" s="2" t="s">
        <v>1211</v>
      </c>
      <c r="C196" s="2" t="str">
        <f>"708-0814"</f>
        <v>708-0814</v>
      </c>
      <c r="D196" s="2" t="str">
        <f>"津山市東一宮２－１６"</f>
        <v>津山市東一宮２－１６</v>
      </c>
      <c r="E196" s="1">
        <v>46387</v>
      </c>
    </row>
    <row r="197" spans="1:5" ht="30" customHeight="1" x14ac:dyDescent="0.4">
      <c r="A197" s="3">
        <v>194</v>
      </c>
      <c r="B197" s="2" t="s">
        <v>1240</v>
      </c>
      <c r="C197" s="2" t="str">
        <f>"708-0002"</f>
        <v>708-0002</v>
      </c>
      <c r="D197" s="2" t="str">
        <f>"津山市上河原２２２－５"</f>
        <v>津山市上河原２２２－５</v>
      </c>
      <c r="E197" s="1">
        <v>46387</v>
      </c>
    </row>
    <row r="198" spans="1:5" ht="30" customHeight="1" x14ac:dyDescent="0.4">
      <c r="A198" s="3">
        <v>195</v>
      </c>
      <c r="B198" s="2" t="s">
        <v>1249</v>
      </c>
      <c r="C198" s="2" t="str">
        <f>"708-0004"</f>
        <v>708-0004</v>
      </c>
      <c r="D198" s="2" t="str">
        <f>"津山市山北549-2"</f>
        <v>津山市山北549-2</v>
      </c>
      <c r="E198" s="1">
        <v>47118</v>
      </c>
    </row>
    <row r="199" spans="1:5" ht="30" customHeight="1" x14ac:dyDescent="0.4">
      <c r="A199" s="3">
        <v>196</v>
      </c>
      <c r="B199" s="2" t="s">
        <v>1239</v>
      </c>
      <c r="C199" s="2" t="str">
        <f>"708-0842"</f>
        <v>708-0842</v>
      </c>
      <c r="D199" s="2" t="str">
        <f>"津山市河辺７６９－１"</f>
        <v>津山市河辺７６９－１</v>
      </c>
      <c r="E199" s="1">
        <v>47483</v>
      </c>
    </row>
    <row r="200" spans="1:5" ht="30" customHeight="1" x14ac:dyDescent="0.4">
      <c r="A200" s="3">
        <v>197</v>
      </c>
      <c r="B200" s="2" t="s">
        <v>1213</v>
      </c>
      <c r="C200" s="2" t="str">
        <f>"708-0871"</f>
        <v>708-0871</v>
      </c>
      <c r="D200" s="2" t="str">
        <f>"津山市中島４２７－１"</f>
        <v>津山市中島４２７－１</v>
      </c>
      <c r="E200" s="1">
        <v>46387</v>
      </c>
    </row>
    <row r="201" spans="1:5" ht="30" customHeight="1" x14ac:dyDescent="0.4">
      <c r="A201" s="3">
        <v>198</v>
      </c>
      <c r="B201" s="2" t="s">
        <v>1235</v>
      </c>
      <c r="C201" s="2" t="str">
        <f>"708-0814"</f>
        <v>708-0814</v>
      </c>
      <c r="D201" s="2" t="str">
        <f>"津山市東一宮５５－５"</f>
        <v>津山市東一宮５５－５</v>
      </c>
      <c r="E201" s="1">
        <v>46752</v>
      </c>
    </row>
    <row r="202" spans="1:5" ht="30" customHeight="1" x14ac:dyDescent="0.4">
      <c r="A202" s="3">
        <v>199</v>
      </c>
      <c r="B202" s="2" t="s">
        <v>1208</v>
      </c>
      <c r="C202" s="2" t="str">
        <f>"708-0003"</f>
        <v>708-0003</v>
      </c>
      <c r="D202" s="2" t="str">
        <f>"津山市北園町２３－１３"</f>
        <v>津山市北園町２３－１３</v>
      </c>
      <c r="E202" s="1">
        <v>46387</v>
      </c>
    </row>
    <row r="203" spans="1:5" ht="30" customHeight="1" x14ac:dyDescent="0.4">
      <c r="A203" s="3">
        <v>200</v>
      </c>
      <c r="B203" s="2" t="s">
        <v>1199</v>
      </c>
      <c r="C203" s="2" t="str">
        <f>"708-0065"</f>
        <v>708-0065</v>
      </c>
      <c r="D203" s="2" t="s">
        <v>1200</v>
      </c>
      <c r="E203" s="1">
        <v>46387</v>
      </c>
    </row>
    <row r="204" spans="1:5" ht="30" customHeight="1" x14ac:dyDescent="0.4">
      <c r="A204" s="3">
        <v>201</v>
      </c>
      <c r="B204" s="2" t="s">
        <v>1231</v>
      </c>
      <c r="C204" s="2" t="str">
        <f>"708-1126"</f>
        <v>708-1126</v>
      </c>
      <c r="D204" s="2" t="str">
        <f>"津山市押入１１３６－１６"</f>
        <v>津山市押入１１３６－１６</v>
      </c>
      <c r="E204" s="1">
        <v>46387</v>
      </c>
    </row>
    <row r="205" spans="1:5" ht="30" customHeight="1" x14ac:dyDescent="0.4">
      <c r="A205" s="3">
        <v>202</v>
      </c>
      <c r="B205" s="2" t="s">
        <v>1232</v>
      </c>
      <c r="C205" s="2" t="str">
        <f>"708-0024"</f>
        <v>708-0024</v>
      </c>
      <c r="D205" s="2" t="s">
        <v>1203</v>
      </c>
      <c r="E205" s="1">
        <v>46387</v>
      </c>
    </row>
    <row r="206" spans="1:5" ht="30" customHeight="1" x14ac:dyDescent="0.4">
      <c r="A206" s="3">
        <v>203</v>
      </c>
      <c r="B206" s="2" t="s">
        <v>1230</v>
      </c>
      <c r="C206" s="2" t="str">
        <f>"708-0013"</f>
        <v>708-0013</v>
      </c>
      <c r="D206" s="2" t="str">
        <f>"津山市二宮５１－１５"</f>
        <v>津山市二宮５１－１５</v>
      </c>
      <c r="E206" s="1">
        <v>46387</v>
      </c>
    </row>
    <row r="207" spans="1:5" ht="30" customHeight="1" x14ac:dyDescent="0.4">
      <c r="A207" s="3">
        <v>204</v>
      </c>
      <c r="B207" s="2" t="s">
        <v>1216</v>
      </c>
      <c r="C207" s="2" t="str">
        <f>"708-1125"</f>
        <v>708-1125</v>
      </c>
      <c r="D207" s="2" t="str">
        <f>"津山市高野本郷１２７４－１１"</f>
        <v>津山市高野本郷１２７４－１１</v>
      </c>
      <c r="E207" s="1">
        <v>46387</v>
      </c>
    </row>
    <row r="208" spans="1:5" ht="30" customHeight="1" x14ac:dyDescent="0.4">
      <c r="A208" s="3">
        <v>205</v>
      </c>
      <c r="B208" s="2" t="s">
        <v>1194</v>
      </c>
      <c r="C208" s="2" t="str">
        <f>"708-0052"</f>
        <v>708-0052</v>
      </c>
      <c r="D208" s="2" t="str">
        <f>"津山市田町９６－５"</f>
        <v>津山市田町９６－５</v>
      </c>
      <c r="E208" s="1">
        <v>46387</v>
      </c>
    </row>
    <row r="209" spans="1:5" ht="30" customHeight="1" x14ac:dyDescent="0.4">
      <c r="A209" s="3">
        <v>206</v>
      </c>
      <c r="B209" s="2" t="s">
        <v>1181</v>
      </c>
      <c r="C209" s="2" t="str">
        <f>"708-0062"</f>
        <v>708-0062</v>
      </c>
      <c r="D209" s="2" t="s">
        <v>1182</v>
      </c>
      <c r="E209" s="1">
        <v>46387</v>
      </c>
    </row>
    <row r="210" spans="1:5" ht="30" customHeight="1" x14ac:dyDescent="0.4">
      <c r="A210" s="3">
        <v>207</v>
      </c>
      <c r="B210" s="2" t="s">
        <v>1250</v>
      </c>
      <c r="C210" s="2" t="str">
        <f>"708-0824"</f>
        <v>708-0824</v>
      </c>
      <c r="D210" s="2" t="str">
        <f>"津山市沼８４８－１６"</f>
        <v>津山市沼８４８－１６</v>
      </c>
      <c r="E210" s="1">
        <v>47483</v>
      </c>
    </row>
    <row r="211" spans="1:5" ht="30" customHeight="1" x14ac:dyDescent="0.4">
      <c r="A211" s="3">
        <v>208</v>
      </c>
      <c r="B211" s="2" t="s">
        <v>1248</v>
      </c>
      <c r="C211" s="2" t="str">
        <f>"708-0841"</f>
        <v>708-0841</v>
      </c>
      <c r="D211" s="2" t="str">
        <f>"津山市川崎５５１－１"</f>
        <v>津山市川崎５５１－１</v>
      </c>
      <c r="E211" s="1">
        <v>46752</v>
      </c>
    </row>
    <row r="212" spans="1:5" ht="30" customHeight="1" x14ac:dyDescent="0.4">
      <c r="A212" s="3">
        <v>209</v>
      </c>
      <c r="B212" s="2" t="s">
        <v>1204</v>
      </c>
      <c r="C212" s="2" t="str">
        <f>"708-1126"</f>
        <v>708-1126</v>
      </c>
      <c r="D212" s="2" t="str">
        <f>"津山市押入１１４０－２"</f>
        <v>津山市押入１１４０－２</v>
      </c>
      <c r="E212" s="1">
        <v>46387</v>
      </c>
    </row>
    <row r="213" spans="1:5" ht="30" customHeight="1" x14ac:dyDescent="0.4">
      <c r="A213" s="3">
        <v>210</v>
      </c>
      <c r="B213" s="2" t="s">
        <v>1221</v>
      </c>
      <c r="C213" s="2" t="str">
        <f>"708-0052"</f>
        <v>708-0052</v>
      </c>
      <c r="D213" s="2" t="str">
        <f>"津山市田町９－３"</f>
        <v>津山市田町９－３</v>
      </c>
      <c r="E213" s="1">
        <v>46387</v>
      </c>
    </row>
    <row r="214" spans="1:5" ht="30" customHeight="1" x14ac:dyDescent="0.4">
      <c r="A214" s="3">
        <v>211</v>
      </c>
      <c r="B214" s="2" t="s">
        <v>1214</v>
      </c>
      <c r="C214" s="2" t="str">
        <f>"708-1223"</f>
        <v>708-1223</v>
      </c>
      <c r="D214" s="2" t="str">
        <f>"津山市坂上２３０－１"</f>
        <v>津山市坂上２３０－１</v>
      </c>
      <c r="E214" s="1">
        <v>46387</v>
      </c>
    </row>
    <row r="215" spans="1:5" ht="30" customHeight="1" x14ac:dyDescent="0.4">
      <c r="A215" s="3">
        <v>212</v>
      </c>
      <c r="B215" s="2" t="s">
        <v>1188</v>
      </c>
      <c r="C215" s="2" t="str">
        <f>"708-0051"</f>
        <v>708-0051</v>
      </c>
      <c r="D215" s="2" t="s">
        <v>1189</v>
      </c>
      <c r="E215" s="1">
        <v>46387</v>
      </c>
    </row>
    <row r="216" spans="1:5" ht="30" customHeight="1" x14ac:dyDescent="0.4">
      <c r="A216" s="3">
        <v>213</v>
      </c>
      <c r="B216" s="2" t="s">
        <v>1197</v>
      </c>
      <c r="C216" s="2" t="str">
        <f>"708-0884"</f>
        <v>708-0884</v>
      </c>
      <c r="D216" s="2" t="str">
        <f>"津山市津山口５７－４"</f>
        <v>津山市津山口５７－４</v>
      </c>
      <c r="E216" s="1">
        <v>46387</v>
      </c>
    </row>
    <row r="217" spans="1:5" ht="30" customHeight="1" x14ac:dyDescent="0.4">
      <c r="A217" s="3">
        <v>214</v>
      </c>
      <c r="B217" s="2" t="s">
        <v>1244</v>
      </c>
      <c r="C217" s="2" t="str">
        <f>"708-0036"</f>
        <v>708-0036</v>
      </c>
      <c r="D217" s="2" t="str">
        <f>"津山市南新座１７－４"</f>
        <v>津山市南新座１７－４</v>
      </c>
      <c r="E217" s="1">
        <v>48213</v>
      </c>
    </row>
    <row r="218" spans="1:5" ht="30" customHeight="1" x14ac:dyDescent="0.4">
      <c r="A218" s="3">
        <v>215</v>
      </c>
      <c r="B218" s="2" t="s">
        <v>1245</v>
      </c>
      <c r="C218" s="2" t="str">
        <f>"708-0842"</f>
        <v>708-0842</v>
      </c>
      <c r="D218" s="2" t="str">
        <f>"津山市河辺１０３９－１　河辺クリニックモール１F"</f>
        <v>津山市河辺１０３９－１　河辺クリニックモール１F</v>
      </c>
      <c r="E218" s="1">
        <v>48213</v>
      </c>
    </row>
    <row r="219" spans="1:5" ht="30" customHeight="1" x14ac:dyDescent="0.4">
      <c r="A219" s="3">
        <v>216</v>
      </c>
      <c r="B219" s="2" t="s">
        <v>1223</v>
      </c>
      <c r="C219" s="2" t="str">
        <f>"708-0006"</f>
        <v>708-0006</v>
      </c>
      <c r="D219" s="2" t="str">
        <f>"津山市小田中２２３－２"</f>
        <v>津山市小田中２２３－２</v>
      </c>
      <c r="E219" s="1">
        <v>46387</v>
      </c>
    </row>
    <row r="220" spans="1:5" ht="30" customHeight="1" x14ac:dyDescent="0.4">
      <c r="A220" s="3">
        <v>217</v>
      </c>
      <c r="B220" s="2" t="s">
        <v>1195</v>
      </c>
      <c r="C220" s="2" t="str">
        <f>"708-0052"</f>
        <v>708-0052</v>
      </c>
      <c r="D220" s="2" t="s">
        <v>1196</v>
      </c>
      <c r="E220" s="1">
        <v>46387</v>
      </c>
    </row>
    <row r="221" spans="1:5" ht="30" customHeight="1" x14ac:dyDescent="0.4">
      <c r="A221" s="3">
        <v>218</v>
      </c>
      <c r="B221" s="2" t="s">
        <v>1227</v>
      </c>
      <c r="C221" s="2" t="str">
        <f>"708-0872"</f>
        <v>708-0872</v>
      </c>
      <c r="D221" s="2" t="str">
        <f>"津山市平福５４７－１"</f>
        <v>津山市平福５４７－１</v>
      </c>
      <c r="E221" s="1">
        <v>46387</v>
      </c>
    </row>
    <row r="222" spans="1:5" ht="30" customHeight="1" x14ac:dyDescent="0.4">
      <c r="A222" s="3">
        <v>219</v>
      </c>
      <c r="B222" s="2" t="s">
        <v>1186</v>
      </c>
      <c r="C222" s="2" t="str">
        <f>"708-0001"</f>
        <v>708-0001</v>
      </c>
      <c r="D222" s="2" t="s">
        <v>1187</v>
      </c>
      <c r="E222" s="1">
        <v>46387</v>
      </c>
    </row>
    <row r="223" spans="1:5" ht="30" customHeight="1" x14ac:dyDescent="0.4">
      <c r="A223" s="3">
        <v>220</v>
      </c>
      <c r="B223" s="2" t="s">
        <v>1210</v>
      </c>
      <c r="C223" s="2" t="str">
        <f>"708-0013"</f>
        <v>708-0013</v>
      </c>
      <c r="D223" s="2" t="str">
        <f>"津山市二宮１９００－１４"</f>
        <v>津山市二宮１９００－１４</v>
      </c>
      <c r="E223" s="1">
        <v>46387</v>
      </c>
    </row>
    <row r="224" spans="1:5" ht="30" customHeight="1" x14ac:dyDescent="0.4">
      <c r="A224" s="3">
        <v>221</v>
      </c>
      <c r="B224" s="2" t="s">
        <v>1190</v>
      </c>
      <c r="C224" s="2" t="str">
        <f>"708-0813"</f>
        <v>708-0813</v>
      </c>
      <c r="D224" s="2" t="str">
        <f>"津山市山方３４－５"</f>
        <v>津山市山方３４－５</v>
      </c>
      <c r="E224" s="1">
        <v>46387</v>
      </c>
    </row>
    <row r="225" spans="1:5" ht="30" customHeight="1" x14ac:dyDescent="0.4">
      <c r="A225" s="3">
        <v>222</v>
      </c>
      <c r="B225" s="2" t="s">
        <v>1246</v>
      </c>
      <c r="C225" s="2" t="str">
        <f>"708-1126"</f>
        <v>708-1126</v>
      </c>
      <c r="D225" s="2" t="str">
        <f>"津山市押入1136-16"</f>
        <v>津山市押入1136-16</v>
      </c>
      <c r="E225" s="1">
        <v>46387</v>
      </c>
    </row>
    <row r="226" spans="1:5" ht="30" customHeight="1" x14ac:dyDescent="0.4">
      <c r="A226" s="3">
        <v>223</v>
      </c>
      <c r="B226" s="2" t="s">
        <v>1241</v>
      </c>
      <c r="C226" s="2" t="str">
        <f>"708-1125"</f>
        <v>708-1125</v>
      </c>
      <c r="D226" s="2" t="str">
        <f>"津山市高野本郷１４３５－１６"</f>
        <v>津山市高野本郷１４３５－１６</v>
      </c>
      <c r="E226" s="1">
        <v>47848</v>
      </c>
    </row>
    <row r="227" spans="1:5" ht="30" customHeight="1" x14ac:dyDescent="0.4">
      <c r="A227" s="3">
        <v>224</v>
      </c>
      <c r="B227" s="2" t="s">
        <v>1219</v>
      </c>
      <c r="C227" s="2" t="str">
        <f>"708-0022"</f>
        <v>708-0022</v>
      </c>
      <c r="D227" s="2" t="str">
        <f>"津山市山下９９－１１"</f>
        <v>津山市山下９９－１１</v>
      </c>
      <c r="E227" s="1">
        <v>46387</v>
      </c>
    </row>
    <row r="228" spans="1:5" ht="30" customHeight="1" x14ac:dyDescent="0.4">
      <c r="A228" s="3">
        <v>225</v>
      </c>
      <c r="B228" s="2" t="s">
        <v>1238</v>
      </c>
      <c r="C228" s="2" t="str">
        <f>"708-1125"</f>
        <v>708-1125</v>
      </c>
      <c r="D228" s="2" t="str">
        <f>"津山市高野本郷１４１５－３"</f>
        <v>津山市高野本郷１４１５－３</v>
      </c>
      <c r="E228" s="1">
        <v>47118</v>
      </c>
    </row>
    <row r="229" spans="1:5" ht="30" customHeight="1" x14ac:dyDescent="0.4">
      <c r="A229" s="3">
        <v>226</v>
      </c>
      <c r="B229" s="2" t="s">
        <v>1212</v>
      </c>
      <c r="C229" s="2" t="str">
        <f>"708-0871"</f>
        <v>708-0871</v>
      </c>
      <c r="D229" s="2" t="str">
        <f>"津山市中島４２６－１"</f>
        <v>津山市中島４２６－１</v>
      </c>
      <c r="E229" s="1">
        <v>46387</v>
      </c>
    </row>
    <row r="230" spans="1:5" ht="30" customHeight="1" x14ac:dyDescent="0.4">
      <c r="A230" s="3">
        <v>227</v>
      </c>
      <c r="B230" s="2" t="s">
        <v>1183</v>
      </c>
      <c r="C230" s="2" t="str">
        <f>"708-0052"</f>
        <v>708-0052</v>
      </c>
      <c r="D230" s="2" t="str">
        <f>"津山市田町２１－１"</f>
        <v>津山市田町２１－１</v>
      </c>
      <c r="E230" s="1">
        <v>46387</v>
      </c>
    </row>
    <row r="231" spans="1:5" ht="30" customHeight="1" x14ac:dyDescent="0.4">
      <c r="A231" s="3">
        <v>228</v>
      </c>
      <c r="B231" s="2" t="s">
        <v>1215</v>
      </c>
      <c r="C231" s="2" t="str">
        <f>"709-3906"</f>
        <v>709-3906</v>
      </c>
      <c r="D231" s="2" t="str">
        <f>"津山市加茂町小中原３０－１"</f>
        <v>津山市加茂町小中原３０－１</v>
      </c>
      <c r="E231" s="1">
        <v>46387</v>
      </c>
    </row>
    <row r="232" spans="1:5" ht="30" customHeight="1" x14ac:dyDescent="0.4">
      <c r="A232" s="3">
        <v>229</v>
      </c>
      <c r="B232" s="2" t="s">
        <v>1229</v>
      </c>
      <c r="C232" s="2" t="str">
        <f>"708-0825"</f>
        <v>708-0825</v>
      </c>
      <c r="D232" s="2" t="str">
        <f>"津山市志戸部６５１－６"</f>
        <v>津山市志戸部６５１－６</v>
      </c>
      <c r="E232" s="1">
        <v>46387</v>
      </c>
    </row>
    <row r="233" spans="1:5" ht="30" customHeight="1" x14ac:dyDescent="0.4">
      <c r="A233" s="3">
        <v>230</v>
      </c>
      <c r="B233" s="2" t="s">
        <v>1201</v>
      </c>
      <c r="C233" s="2" t="str">
        <f>"708-0022"</f>
        <v>708-0022</v>
      </c>
      <c r="D233" s="2" t="str">
        <f>"津山市山下９－５"</f>
        <v>津山市山下９－５</v>
      </c>
      <c r="E233" s="1">
        <v>46387</v>
      </c>
    </row>
    <row r="234" spans="1:5" ht="30" customHeight="1" x14ac:dyDescent="0.4">
      <c r="A234" s="3">
        <v>231</v>
      </c>
      <c r="B234" s="2" t="s">
        <v>1236</v>
      </c>
      <c r="C234" s="2" t="str">
        <f>"708-0006"</f>
        <v>708-0006</v>
      </c>
      <c r="D234" s="2" t="str">
        <f>"津山市小田中２３０－１５"</f>
        <v>津山市小田中２３０－１５</v>
      </c>
      <c r="E234" s="1">
        <v>46752</v>
      </c>
    </row>
    <row r="235" spans="1:5" ht="30" customHeight="1" x14ac:dyDescent="0.4">
      <c r="A235" s="3">
        <v>232</v>
      </c>
      <c r="B235" s="2" t="s">
        <v>1218</v>
      </c>
      <c r="C235" s="2" t="str">
        <f>"708-0013"</f>
        <v>708-0013</v>
      </c>
      <c r="D235" s="2" t="str">
        <f>"津山市二宮１９６１－１"</f>
        <v>津山市二宮１９６１－１</v>
      </c>
      <c r="E235" s="1">
        <v>46387</v>
      </c>
    </row>
    <row r="236" spans="1:5" ht="30" customHeight="1" x14ac:dyDescent="0.4">
      <c r="A236" s="3">
        <v>233</v>
      </c>
      <c r="B236" s="2" t="s">
        <v>1207</v>
      </c>
      <c r="C236" s="2" t="str">
        <f>"708-0036"</f>
        <v>708-0036</v>
      </c>
      <c r="D236" s="2" t="str">
        <f>"津山市南新座２４－８"</f>
        <v>津山市南新座２４－８</v>
      </c>
      <c r="E236" s="1">
        <v>46387</v>
      </c>
    </row>
    <row r="237" spans="1:5" ht="30" customHeight="1" x14ac:dyDescent="0.4">
      <c r="A237" s="3">
        <v>234</v>
      </c>
      <c r="B237" s="2" t="s">
        <v>1228</v>
      </c>
      <c r="C237" s="2" t="str">
        <f>"708-0841"</f>
        <v>708-0841</v>
      </c>
      <c r="D237" s="2" t="str">
        <f>"津山市川崎１１３５－３"</f>
        <v>津山市川崎１１３５－３</v>
      </c>
      <c r="E237" s="1">
        <v>46387</v>
      </c>
    </row>
    <row r="238" spans="1:5" ht="30" customHeight="1" x14ac:dyDescent="0.4">
      <c r="A238" s="3">
        <v>235</v>
      </c>
      <c r="B238" s="2" t="s">
        <v>1498</v>
      </c>
      <c r="C238" s="2" t="str">
        <f>"708-1204"</f>
        <v>708-1204</v>
      </c>
      <c r="D238" s="2" t="str">
        <f>"津山市日本原３４５－５"</f>
        <v>津山市日本原３４５－５</v>
      </c>
      <c r="E238" s="1">
        <v>46387</v>
      </c>
    </row>
    <row r="239" spans="1:5" ht="30" customHeight="1" x14ac:dyDescent="0.4">
      <c r="A239" s="3">
        <v>236</v>
      </c>
      <c r="B239" s="2" t="s">
        <v>1209</v>
      </c>
      <c r="C239" s="2" t="str">
        <f>"708-0884"</f>
        <v>708-0884</v>
      </c>
      <c r="D239" s="2" t="str">
        <f>"津山市津山口３３０－４"</f>
        <v>津山市津山口３３０－４</v>
      </c>
      <c r="E239" s="1">
        <v>46387</v>
      </c>
    </row>
    <row r="240" spans="1:5" ht="30" customHeight="1" x14ac:dyDescent="0.4">
      <c r="A240" s="3">
        <v>237</v>
      </c>
      <c r="B240" s="2" t="s">
        <v>1191</v>
      </c>
      <c r="C240" s="2" t="str">
        <f>"708-0842"</f>
        <v>708-0842</v>
      </c>
      <c r="D240" s="2" t="s">
        <v>1192</v>
      </c>
      <c r="E240" s="1">
        <v>46387</v>
      </c>
    </row>
    <row r="241" spans="1:5" ht="30" customHeight="1" x14ac:dyDescent="0.4">
      <c r="A241" s="3">
        <v>238</v>
      </c>
      <c r="B241" s="2" t="s">
        <v>1242</v>
      </c>
      <c r="C241" s="2" t="str">
        <f>"708-0036"</f>
        <v>708-0036</v>
      </c>
      <c r="D241" s="2" t="s">
        <v>1243</v>
      </c>
      <c r="E241" s="1">
        <v>47848</v>
      </c>
    </row>
    <row r="242" spans="1:5" ht="30" customHeight="1" x14ac:dyDescent="0.4">
      <c r="A242" s="3">
        <v>239</v>
      </c>
      <c r="B242" s="2" t="s">
        <v>973</v>
      </c>
      <c r="C242" s="2" t="str">
        <f>"708-0036"</f>
        <v>708-0036</v>
      </c>
      <c r="D242" s="2" t="str">
        <f>"津山市南新座１０８－３"</f>
        <v>津山市南新座１０８－３</v>
      </c>
      <c r="E242" s="1">
        <v>46387</v>
      </c>
    </row>
    <row r="243" spans="1:5" ht="30" customHeight="1" x14ac:dyDescent="0.4">
      <c r="A243" s="3">
        <v>240</v>
      </c>
      <c r="B243" s="2" t="s">
        <v>1202</v>
      </c>
      <c r="C243" s="2" t="str">
        <f>"708-1117"</f>
        <v>708-1117</v>
      </c>
      <c r="D243" s="2" t="str">
        <f>"津山市草加部９５４－９"</f>
        <v>津山市草加部９５４－９</v>
      </c>
      <c r="E243" s="1">
        <v>46387</v>
      </c>
    </row>
    <row r="244" spans="1:5" ht="30" customHeight="1" x14ac:dyDescent="0.4">
      <c r="A244" s="3">
        <v>241</v>
      </c>
      <c r="B244" s="2" t="s">
        <v>1267</v>
      </c>
      <c r="C244" s="2" t="str">
        <f>"706-0011"</f>
        <v>706-0011</v>
      </c>
      <c r="D244" s="2" t="s">
        <v>1268</v>
      </c>
      <c r="E244" s="1">
        <v>46387</v>
      </c>
    </row>
    <row r="245" spans="1:5" ht="30" customHeight="1" x14ac:dyDescent="0.4">
      <c r="A245" s="3">
        <v>242</v>
      </c>
      <c r="B245" s="2" t="s">
        <v>1288</v>
      </c>
      <c r="C245" s="2" t="str">
        <f>"706-0011"</f>
        <v>706-0011</v>
      </c>
      <c r="D245" s="2" t="s">
        <v>1289</v>
      </c>
      <c r="E245" s="1">
        <v>47848</v>
      </c>
    </row>
    <row r="246" spans="1:5" ht="30" customHeight="1" x14ac:dyDescent="0.4">
      <c r="A246" s="3">
        <v>243</v>
      </c>
      <c r="B246" s="2" t="s">
        <v>1251</v>
      </c>
      <c r="C246" s="2" t="str">
        <f>"706-0011"</f>
        <v>706-0011</v>
      </c>
      <c r="D246" s="2" t="str">
        <f>"玉野市宇野２－１９－１８"</f>
        <v>玉野市宇野２－１９－１８</v>
      </c>
      <c r="E246" s="1">
        <v>46387</v>
      </c>
    </row>
    <row r="247" spans="1:5" ht="30" customHeight="1" x14ac:dyDescent="0.4">
      <c r="A247" s="3">
        <v>244</v>
      </c>
      <c r="B247" s="2" t="s">
        <v>1269</v>
      </c>
      <c r="C247" s="2" t="str">
        <f>"706-0001"</f>
        <v>706-0001</v>
      </c>
      <c r="D247" s="2" t="s">
        <v>1270</v>
      </c>
      <c r="E247" s="1">
        <v>46387</v>
      </c>
    </row>
    <row r="248" spans="1:5" ht="30" customHeight="1" x14ac:dyDescent="0.4">
      <c r="A248" s="3">
        <v>245</v>
      </c>
      <c r="B248" s="2" t="s">
        <v>1287</v>
      </c>
      <c r="C248" s="2" t="str">
        <f>"706-0001"</f>
        <v>706-0001</v>
      </c>
      <c r="D248" s="2" t="s">
        <v>1260</v>
      </c>
      <c r="E248" s="1">
        <v>47483</v>
      </c>
    </row>
    <row r="249" spans="1:5" ht="30" customHeight="1" x14ac:dyDescent="0.4">
      <c r="A249" s="3">
        <v>246</v>
      </c>
      <c r="B249" s="2" t="s">
        <v>1274</v>
      </c>
      <c r="C249" s="2" t="str">
        <f>"706-0011"</f>
        <v>706-0011</v>
      </c>
      <c r="D249" s="2" t="str">
        <f>"玉野市宇野１丁目１２－２５"</f>
        <v>玉野市宇野１丁目１２－２５</v>
      </c>
      <c r="E249" s="1">
        <v>46387</v>
      </c>
    </row>
    <row r="250" spans="1:5" ht="30" customHeight="1" x14ac:dyDescent="0.4">
      <c r="A250" s="3">
        <v>247</v>
      </c>
      <c r="B250" s="2" t="s">
        <v>1271</v>
      </c>
      <c r="C250" s="2" t="str">
        <f>"706-0021"</f>
        <v>706-0021</v>
      </c>
      <c r="D250" s="2" t="s">
        <v>1272</v>
      </c>
      <c r="E250" s="1">
        <v>46387</v>
      </c>
    </row>
    <row r="251" spans="1:5" ht="30" customHeight="1" x14ac:dyDescent="0.4">
      <c r="A251" s="3">
        <v>248</v>
      </c>
      <c r="B251" s="2" t="s">
        <v>1261</v>
      </c>
      <c r="C251" s="2" t="str">
        <f>"706-0141"</f>
        <v>706-0141</v>
      </c>
      <c r="D251" s="2" t="str">
        <f>"玉野市槌ケ原１０１７－８"</f>
        <v>玉野市槌ケ原１０１７－８</v>
      </c>
      <c r="E251" s="1">
        <v>46387</v>
      </c>
    </row>
    <row r="252" spans="1:5" ht="30" customHeight="1" x14ac:dyDescent="0.4">
      <c r="A252" s="3">
        <v>249</v>
      </c>
      <c r="B252" s="2" t="s">
        <v>1265</v>
      </c>
      <c r="C252" s="2" t="str">
        <f>"706-0142"</f>
        <v>706-0142</v>
      </c>
      <c r="D252" s="2" t="str">
        <f>"玉野市迫間２１３７－１"</f>
        <v>玉野市迫間２１３７－１</v>
      </c>
      <c r="E252" s="1">
        <v>46387</v>
      </c>
    </row>
    <row r="253" spans="1:5" ht="30" customHeight="1" x14ac:dyDescent="0.4">
      <c r="A253" s="3">
        <v>250</v>
      </c>
      <c r="B253" s="2" t="s">
        <v>1266</v>
      </c>
      <c r="C253" s="2" t="str">
        <f>"706-0011"</f>
        <v>706-0011</v>
      </c>
      <c r="D253" s="2" t="str">
        <f>"玉野市宇野１－１５－２５"</f>
        <v>玉野市宇野１－１５－２５</v>
      </c>
      <c r="E253" s="1">
        <v>46387</v>
      </c>
    </row>
    <row r="254" spans="1:5" ht="30" customHeight="1" x14ac:dyDescent="0.4">
      <c r="A254" s="3">
        <v>251</v>
      </c>
      <c r="B254" s="2" t="s">
        <v>1262</v>
      </c>
      <c r="C254" s="2" t="str">
        <f>"706-0221"</f>
        <v>706-0221</v>
      </c>
      <c r="D254" s="2" t="str">
        <f>"玉野市八浜町八浜１４８４－７"</f>
        <v>玉野市八浜町八浜１４８４－７</v>
      </c>
      <c r="E254" s="1">
        <v>46387</v>
      </c>
    </row>
    <row r="255" spans="1:5" ht="30" customHeight="1" x14ac:dyDescent="0.4">
      <c r="A255" s="3">
        <v>252</v>
      </c>
      <c r="B255" s="2" t="s">
        <v>1280</v>
      </c>
      <c r="C255" s="2" t="str">
        <f>"706-0011"</f>
        <v>706-0011</v>
      </c>
      <c r="D255" s="2" t="str">
        <f>"玉野市宇野２－６－２"</f>
        <v>玉野市宇野２－６－２</v>
      </c>
      <c r="E255" s="1">
        <v>46387</v>
      </c>
    </row>
    <row r="256" spans="1:5" ht="30" customHeight="1" x14ac:dyDescent="0.4">
      <c r="A256" s="3">
        <v>253</v>
      </c>
      <c r="B256" s="2" t="s">
        <v>1284</v>
      </c>
      <c r="C256" s="2" t="str">
        <f>"706-0023"</f>
        <v>706-0023</v>
      </c>
      <c r="D256" s="2" t="str">
        <f>"玉野市深井町11－13"</f>
        <v>玉野市深井町11－13</v>
      </c>
      <c r="E256" s="1">
        <v>46752</v>
      </c>
    </row>
    <row r="257" spans="1:5" ht="30" customHeight="1" x14ac:dyDescent="0.4">
      <c r="A257" s="3">
        <v>254</v>
      </c>
      <c r="B257" s="2" t="s">
        <v>1275</v>
      </c>
      <c r="C257" s="2" t="str">
        <f>"706-0132"</f>
        <v>706-0132</v>
      </c>
      <c r="D257" s="2" t="str">
        <f>"玉野市用吉１６７６－７"</f>
        <v>玉野市用吉１６７６－７</v>
      </c>
      <c r="E257" s="1">
        <v>46387</v>
      </c>
    </row>
    <row r="258" spans="1:5" ht="30" customHeight="1" x14ac:dyDescent="0.4">
      <c r="A258" s="3">
        <v>255</v>
      </c>
      <c r="B258" s="2" t="s">
        <v>1283</v>
      </c>
      <c r="C258" s="2" t="str">
        <f>"706-0001"</f>
        <v>706-0001</v>
      </c>
      <c r="D258" s="2" t="str">
        <f>"玉野市田井３－２－１２"</f>
        <v>玉野市田井３－２－１２</v>
      </c>
      <c r="E258" s="1">
        <v>47848</v>
      </c>
    </row>
    <row r="259" spans="1:5" ht="30" customHeight="1" x14ac:dyDescent="0.4">
      <c r="A259" s="3">
        <v>256</v>
      </c>
      <c r="B259" s="2" t="s">
        <v>1255</v>
      </c>
      <c r="C259" s="2" t="str">
        <f>"706-0011"</f>
        <v>706-0011</v>
      </c>
      <c r="D259" s="2" t="str">
        <f>"玉野市宇野８－３－１０"</f>
        <v>玉野市宇野８－３－１０</v>
      </c>
      <c r="E259" s="1">
        <v>46387</v>
      </c>
    </row>
    <row r="260" spans="1:5" ht="30" customHeight="1" x14ac:dyDescent="0.4">
      <c r="A260" s="3">
        <v>257</v>
      </c>
      <c r="B260" s="2" t="s">
        <v>1263</v>
      </c>
      <c r="C260" s="2" t="str">
        <f>"706-0134"</f>
        <v>706-0134</v>
      </c>
      <c r="D260" s="2" t="str">
        <f>"玉野市東高崎２６－１２４"</f>
        <v>玉野市東高崎２６－１２４</v>
      </c>
      <c r="E260" s="1">
        <v>46387</v>
      </c>
    </row>
    <row r="261" spans="1:5" ht="30" customHeight="1" x14ac:dyDescent="0.4">
      <c r="A261" s="3">
        <v>258</v>
      </c>
      <c r="B261" s="2" t="s">
        <v>1278</v>
      </c>
      <c r="C261" s="2" t="str">
        <f>"706-0026"</f>
        <v>706-0026</v>
      </c>
      <c r="D261" s="2" t="s">
        <v>1279</v>
      </c>
      <c r="E261" s="1">
        <v>46387</v>
      </c>
    </row>
    <row r="262" spans="1:5" ht="30" customHeight="1" x14ac:dyDescent="0.4">
      <c r="A262" s="3">
        <v>259</v>
      </c>
      <c r="B262" s="2" t="s">
        <v>1281</v>
      </c>
      <c r="C262" s="2" t="str">
        <f>"706-0011"</f>
        <v>706-0011</v>
      </c>
      <c r="D262" s="2" t="str">
        <f>"玉野市宇野１－３８－１"</f>
        <v>玉野市宇野１－３８－１</v>
      </c>
      <c r="E262" s="1">
        <v>46387</v>
      </c>
    </row>
    <row r="263" spans="1:5" ht="30" customHeight="1" x14ac:dyDescent="0.4">
      <c r="A263" s="3">
        <v>260</v>
      </c>
      <c r="B263" s="2" t="s">
        <v>1259</v>
      </c>
      <c r="C263" s="2" t="str">
        <f>"706-0011"</f>
        <v>706-0011</v>
      </c>
      <c r="D263" s="2" t="str">
        <f>"玉野市宇野一丁目１４－３０"</f>
        <v>玉野市宇野一丁目１４－３０</v>
      </c>
      <c r="E263" s="1">
        <v>46387</v>
      </c>
    </row>
    <row r="264" spans="1:5" ht="30" customHeight="1" x14ac:dyDescent="0.4">
      <c r="A264" s="3">
        <v>261</v>
      </c>
      <c r="B264" s="2" t="s">
        <v>1277</v>
      </c>
      <c r="C264" s="2" t="str">
        <f>"706-0312"</f>
        <v>706-0312</v>
      </c>
      <c r="D264" s="2" t="s">
        <v>417</v>
      </c>
      <c r="E264" s="1">
        <v>46387</v>
      </c>
    </row>
    <row r="265" spans="1:5" ht="30" customHeight="1" x14ac:dyDescent="0.4">
      <c r="A265" s="3">
        <v>262</v>
      </c>
      <c r="B265" s="2" t="s">
        <v>1290</v>
      </c>
      <c r="C265" s="2" t="str">
        <f>"706-0011"</f>
        <v>706-0011</v>
      </c>
      <c r="D265" s="2" t="str">
        <f>"玉野市宇野２丁目１－２４"</f>
        <v>玉野市宇野２丁目１－２４</v>
      </c>
      <c r="E265" s="1">
        <v>47848</v>
      </c>
    </row>
    <row r="266" spans="1:5" ht="30" customHeight="1" x14ac:dyDescent="0.4">
      <c r="A266" s="3">
        <v>263</v>
      </c>
      <c r="B266" s="2" t="s">
        <v>1285</v>
      </c>
      <c r="C266" s="2" t="str">
        <f>"706-0001"</f>
        <v>706-0001</v>
      </c>
      <c r="D266" s="2" t="s">
        <v>1286</v>
      </c>
      <c r="E266" s="1">
        <v>47483</v>
      </c>
    </row>
    <row r="267" spans="1:5" ht="30" customHeight="1" x14ac:dyDescent="0.4">
      <c r="A267" s="3">
        <v>264</v>
      </c>
      <c r="B267" s="2" t="s">
        <v>1273</v>
      </c>
      <c r="C267" s="2" t="str">
        <f>"706-0021"</f>
        <v>706-0021</v>
      </c>
      <c r="D267" s="2" t="str">
        <f>"玉野市和田５丁目８２３－１"</f>
        <v>玉野市和田５丁目８２３－１</v>
      </c>
      <c r="E267" s="1">
        <v>46387</v>
      </c>
    </row>
    <row r="268" spans="1:5" ht="30" customHeight="1" x14ac:dyDescent="0.4">
      <c r="A268" s="3">
        <v>265</v>
      </c>
      <c r="B268" s="2" t="s">
        <v>1252</v>
      </c>
      <c r="C268" s="2" t="str">
        <f>"706-0011"</f>
        <v>706-0011</v>
      </c>
      <c r="D268" s="2" t="str">
        <f>"玉野市宇野２－３２－８"</f>
        <v>玉野市宇野２－３２－８</v>
      </c>
      <c r="E268" s="1">
        <v>46387</v>
      </c>
    </row>
    <row r="269" spans="1:5" ht="30" customHeight="1" x14ac:dyDescent="0.4">
      <c r="A269" s="3">
        <v>266</v>
      </c>
      <c r="B269" s="2" t="s">
        <v>1282</v>
      </c>
      <c r="C269" s="2" t="str">
        <f>"706-0001"</f>
        <v>706-0001</v>
      </c>
      <c r="D269" s="2" t="str">
        <f>"玉野市田井５丁目３－２２－５号"</f>
        <v>玉野市田井５丁目３－２２－５号</v>
      </c>
      <c r="E269" s="1">
        <v>47118</v>
      </c>
    </row>
    <row r="270" spans="1:5" ht="30" customHeight="1" x14ac:dyDescent="0.4">
      <c r="A270" s="3">
        <v>267</v>
      </c>
      <c r="B270" s="2" t="s">
        <v>1291</v>
      </c>
      <c r="C270" s="2" t="str">
        <f>"706-0011"</f>
        <v>706-0011</v>
      </c>
      <c r="D270" s="2" t="s">
        <v>1276</v>
      </c>
      <c r="E270" s="1">
        <v>47848</v>
      </c>
    </row>
    <row r="271" spans="1:5" ht="30" customHeight="1" x14ac:dyDescent="0.4">
      <c r="A271" s="3">
        <v>268</v>
      </c>
      <c r="B271" s="2" t="s">
        <v>1256</v>
      </c>
      <c r="C271" s="2" t="str">
        <f>"706-0002"</f>
        <v>706-0002</v>
      </c>
      <c r="D271" s="2" t="str">
        <f>"玉野市築港１－１５－２３"</f>
        <v>玉野市築港１－１５－２３</v>
      </c>
      <c r="E271" s="1">
        <v>46387</v>
      </c>
    </row>
    <row r="272" spans="1:5" ht="30" customHeight="1" x14ac:dyDescent="0.4">
      <c r="A272" s="3">
        <v>269</v>
      </c>
      <c r="B272" s="2" t="s">
        <v>1292</v>
      </c>
      <c r="C272" s="2" t="str">
        <f>"706-0011"</f>
        <v>706-0011</v>
      </c>
      <c r="D272" s="2" t="str">
        <f>"玉野市宇野１－２２－１４"</f>
        <v>玉野市宇野１－２２－１４</v>
      </c>
      <c r="E272" s="1">
        <v>47848</v>
      </c>
    </row>
    <row r="273" spans="1:5" ht="30" customHeight="1" x14ac:dyDescent="0.4">
      <c r="A273" s="3">
        <v>270</v>
      </c>
      <c r="B273" s="2" t="s">
        <v>1257</v>
      </c>
      <c r="C273" s="2" t="str">
        <f>"706-0133"</f>
        <v>706-0133</v>
      </c>
      <c r="D273" s="2" t="s">
        <v>1258</v>
      </c>
      <c r="E273" s="1">
        <v>46387</v>
      </c>
    </row>
    <row r="274" spans="1:5" ht="30" customHeight="1" x14ac:dyDescent="0.4">
      <c r="A274" s="3">
        <v>271</v>
      </c>
      <c r="B274" s="2" t="s">
        <v>1253</v>
      </c>
      <c r="C274" s="2" t="str">
        <f>"706-0001"</f>
        <v>706-0001</v>
      </c>
      <c r="D274" s="2" t="s">
        <v>1254</v>
      </c>
      <c r="E274" s="1">
        <v>46387</v>
      </c>
    </row>
    <row r="275" spans="1:5" ht="30" customHeight="1" x14ac:dyDescent="0.4">
      <c r="A275" s="3">
        <v>272</v>
      </c>
      <c r="B275" s="2" t="s">
        <v>1264</v>
      </c>
      <c r="C275" s="2" t="str">
        <f>"706-0021"</f>
        <v>706-0021</v>
      </c>
      <c r="D275" s="2" t="str">
        <f>"玉野市和田３－４－１０"</f>
        <v>玉野市和田３－４－１０</v>
      </c>
      <c r="E275" s="1">
        <v>46387</v>
      </c>
    </row>
    <row r="276" spans="1:5" ht="30" customHeight="1" x14ac:dyDescent="0.4">
      <c r="A276" s="3">
        <v>273</v>
      </c>
      <c r="B276" s="2" t="s">
        <v>1308</v>
      </c>
      <c r="C276" s="2" t="str">
        <f>"714-0086"</f>
        <v>714-0086</v>
      </c>
      <c r="D276" s="2" t="str">
        <f>"笠岡市五番町5-1"</f>
        <v>笠岡市五番町5-1</v>
      </c>
      <c r="E276" s="1">
        <v>47483</v>
      </c>
    </row>
    <row r="277" spans="1:5" ht="30" customHeight="1" x14ac:dyDescent="0.4">
      <c r="A277" s="3">
        <v>274</v>
      </c>
      <c r="B277" s="2" t="s">
        <v>1304</v>
      </c>
      <c r="C277" s="2" t="str">
        <f>"714-0081"</f>
        <v>714-0081</v>
      </c>
      <c r="D277" s="2" t="str">
        <f>"笠岡市笠岡５１０１－４"</f>
        <v>笠岡市笠岡５１０１－４</v>
      </c>
      <c r="E277" s="1">
        <v>46387</v>
      </c>
    </row>
    <row r="278" spans="1:5" ht="30" customHeight="1" x14ac:dyDescent="0.4">
      <c r="A278" s="3">
        <v>275</v>
      </c>
      <c r="B278" s="2" t="s">
        <v>1298</v>
      </c>
      <c r="C278" s="2" t="str">
        <f>"714-0013"</f>
        <v>714-0013</v>
      </c>
      <c r="D278" s="2" t="str">
        <f>"笠岡市大井南２９－４"</f>
        <v>笠岡市大井南２９－４</v>
      </c>
      <c r="E278" s="1">
        <v>46387</v>
      </c>
    </row>
    <row r="279" spans="1:5" ht="30" customHeight="1" x14ac:dyDescent="0.4">
      <c r="A279" s="3">
        <v>276</v>
      </c>
      <c r="B279" s="2" t="s">
        <v>1307</v>
      </c>
      <c r="C279" s="2" t="str">
        <f>"714-0022"</f>
        <v>714-0022</v>
      </c>
      <c r="D279" s="2" t="str">
        <f>"笠岡市今立２９０５－２"</f>
        <v>笠岡市今立２９０５－２</v>
      </c>
      <c r="E279" s="1">
        <v>47118</v>
      </c>
    </row>
    <row r="280" spans="1:5" ht="30" customHeight="1" x14ac:dyDescent="0.4">
      <c r="A280" s="3">
        <v>277</v>
      </c>
      <c r="B280" s="2" t="s">
        <v>1303</v>
      </c>
      <c r="C280" s="2" t="str">
        <f>"714-0096"</f>
        <v>714-0096</v>
      </c>
      <c r="D280" s="2" t="str">
        <f>"笠岡市九番町２－２３"</f>
        <v>笠岡市九番町２－２３</v>
      </c>
      <c r="E280" s="1">
        <v>46387</v>
      </c>
    </row>
    <row r="281" spans="1:5" ht="30" customHeight="1" x14ac:dyDescent="0.4">
      <c r="A281" s="3">
        <v>278</v>
      </c>
      <c r="B281" s="2" t="s">
        <v>1305</v>
      </c>
      <c r="C281" s="2" t="str">
        <f>"714-0081"</f>
        <v>714-0081</v>
      </c>
      <c r="D281" s="2" t="str">
        <f>"笠岡市笠岡５８９１－１１"</f>
        <v>笠岡市笠岡５８９１－１１</v>
      </c>
      <c r="E281" s="1">
        <v>46387</v>
      </c>
    </row>
    <row r="282" spans="1:5" ht="30" customHeight="1" x14ac:dyDescent="0.4">
      <c r="A282" s="3">
        <v>279</v>
      </c>
      <c r="B282" s="2" t="s">
        <v>1293</v>
      </c>
      <c r="C282" s="2" t="str">
        <f>"714-0057"</f>
        <v>714-0057</v>
      </c>
      <c r="D282" s="2" t="s">
        <v>1294</v>
      </c>
      <c r="E282" s="1">
        <v>46387</v>
      </c>
    </row>
    <row r="283" spans="1:5" ht="30" customHeight="1" x14ac:dyDescent="0.4">
      <c r="A283" s="3">
        <v>280</v>
      </c>
      <c r="B283" s="2" t="s">
        <v>1295</v>
      </c>
      <c r="C283" s="2" t="str">
        <f>"714-0084"</f>
        <v>714-0084</v>
      </c>
      <c r="D283" s="2" t="str">
        <f>"笠岡市三番町４－１０"</f>
        <v>笠岡市三番町４－１０</v>
      </c>
      <c r="E283" s="1">
        <v>46387</v>
      </c>
    </row>
    <row r="284" spans="1:5" ht="30" customHeight="1" x14ac:dyDescent="0.4">
      <c r="A284" s="3">
        <v>281</v>
      </c>
      <c r="B284" s="2" t="s">
        <v>1302</v>
      </c>
      <c r="C284" s="2" t="str">
        <f>"714-0086"</f>
        <v>714-0086</v>
      </c>
      <c r="D284" s="2" t="str">
        <f>"笠岡市五番町５－３４"</f>
        <v>笠岡市五番町５－３４</v>
      </c>
      <c r="E284" s="1">
        <v>46387</v>
      </c>
    </row>
    <row r="285" spans="1:5" ht="30" customHeight="1" x14ac:dyDescent="0.4">
      <c r="A285" s="3">
        <v>282</v>
      </c>
      <c r="B285" s="2" t="s">
        <v>1301</v>
      </c>
      <c r="C285" s="2" t="str">
        <f>"714-0081"</f>
        <v>714-0081</v>
      </c>
      <c r="D285" s="2" t="str">
        <f>"笠岡市笠岡５６１８－１７"</f>
        <v>笠岡市笠岡５６１８－１７</v>
      </c>
      <c r="E285" s="1">
        <v>46387</v>
      </c>
    </row>
    <row r="286" spans="1:5" ht="30" customHeight="1" x14ac:dyDescent="0.4">
      <c r="A286" s="3">
        <v>283</v>
      </c>
      <c r="B286" s="2" t="s">
        <v>1190</v>
      </c>
      <c r="C286" s="2" t="str">
        <f>"714-0081"</f>
        <v>714-0081</v>
      </c>
      <c r="D286" s="2" t="str">
        <f>"笠岡市笠岡２２６５－１"</f>
        <v>笠岡市笠岡２２６５－１</v>
      </c>
      <c r="E286" s="1">
        <v>46387</v>
      </c>
    </row>
    <row r="287" spans="1:5" ht="30" customHeight="1" x14ac:dyDescent="0.4">
      <c r="A287" s="3">
        <v>284</v>
      </c>
      <c r="B287" s="2" t="s">
        <v>1299</v>
      </c>
      <c r="C287" s="2" t="str">
        <f>"714-0081"</f>
        <v>714-0081</v>
      </c>
      <c r="D287" s="2" t="str">
        <f>"笠岡市笠岡５６２８－３４"</f>
        <v>笠岡市笠岡５６２８－３４</v>
      </c>
      <c r="E287" s="1">
        <v>46387</v>
      </c>
    </row>
    <row r="288" spans="1:5" ht="30" customHeight="1" x14ac:dyDescent="0.4">
      <c r="A288" s="3">
        <v>285</v>
      </c>
      <c r="B288" s="2" t="s">
        <v>1300</v>
      </c>
      <c r="C288" s="2" t="str">
        <f>"714-0043"</f>
        <v>714-0043</v>
      </c>
      <c r="D288" s="2" t="str">
        <f>"笠岡市横島１９４４－１"</f>
        <v>笠岡市横島１９４４－１</v>
      </c>
      <c r="E288" s="1">
        <v>46387</v>
      </c>
    </row>
    <row r="289" spans="1:5" ht="30" customHeight="1" x14ac:dyDescent="0.4">
      <c r="A289" s="3">
        <v>286</v>
      </c>
      <c r="B289" s="2" t="s">
        <v>1296</v>
      </c>
      <c r="C289" s="2" t="str">
        <f>"714-0031"</f>
        <v>714-0031</v>
      </c>
      <c r="D289" s="2" t="s">
        <v>1297</v>
      </c>
      <c r="E289" s="1">
        <v>46387</v>
      </c>
    </row>
    <row r="290" spans="1:5" ht="30" customHeight="1" x14ac:dyDescent="0.4">
      <c r="A290" s="3">
        <v>287</v>
      </c>
      <c r="B290" s="2" t="s">
        <v>1306</v>
      </c>
      <c r="C290" s="2" t="str">
        <f>"714-0042"</f>
        <v>714-0042</v>
      </c>
      <c r="D290" s="2" t="str">
        <f>"笠岡市美の浜２９－６６"</f>
        <v>笠岡市美の浜２９－６６</v>
      </c>
      <c r="E290" s="1">
        <v>46752</v>
      </c>
    </row>
    <row r="291" spans="1:5" ht="30" customHeight="1" x14ac:dyDescent="0.4">
      <c r="A291" s="3">
        <v>288</v>
      </c>
      <c r="B291" s="2" t="s">
        <v>1310</v>
      </c>
      <c r="C291" s="2" t="str">
        <f>"714-0092"</f>
        <v>714-0092</v>
      </c>
      <c r="D291" s="2" t="str">
        <f>"笠岡市富岡２５６－１０"</f>
        <v>笠岡市富岡２５６－１０</v>
      </c>
      <c r="E291" s="1">
        <v>47848</v>
      </c>
    </row>
    <row r="292" spans="1:5" ht="30" customHeight="1" x14ac:dyDescent="0.4">
      <c r="A292" s="3">
        <v>289</v>
      </c>
      <c r="B292" s="2" t="s">
        <v>1309</v>
      </c>
      <c r="C292" s="2" t="str">
        <f>"714-0083"</f>
        <v>714-0083</v>
      </c>
      <c r="D292" s="2" t="str">
        <f>"笠岡市二番町７－１０"</f>
        <v>笠岡市二番町７－１０</v>
      </c>
      <c r="E292" s="1">
        <v>47848</v>
      </c>
    </row>
    <row r="293" spans="1:5" ht="30" customHeight="1" x14ac:dyDescent="0.4">
      <c r="A293" s="3">
        <v>290</v>
      </c>
      <c r="B293" s="2" t="s">
        <v>975</v>
      </c>
      <c r="C293" s="2" t="str">
        <f>"715-0021"</f>
        <v>715-0021</v>
      </c>
      <c r="D293" s="2" t="str">
        <f>"井原市上出部町５００－１"</f>
        <v>井原市上出部町５００－１</v>
      </c>
      <c r="E293" s="1">
        <v>46387</v>
      </c>
    </row>
    <row r="294" spans="1:5" ht="30" customHeight="1" x14ac:dyDescent="0.4">
      <c r="A294" s="3">
        <v>291</v>
      </c>
      <c r="B294" s="2" t="s">
        <v>1317</v>
      </c>
      <c r="C294" s="2" t="str">
        <f>"714-1407"</f>
        <v>714-1407</v>
      </c>
      <c r="D294" s="2" t="str">
        <f>"井原市美星町黒忠２９５６－２"</f>
        <v>井原市美星町黒忠２９５６－２</v>
      </c>
      <c r="E294" s="1">
        <v>46387</v>
      </c>
    </row>
    <row r="295" spans="1:5" ht="30" customHeight="1" x14ac:dyDescent="0.4">
      <c r="A295" s="3">
        <v>292</v>
      </c>
      <c r="B295" s="2" t="s">
        <v>1321</v>
      </c>
      <c r="C295" s="2" t="str">
        <f>"714-1411"</f>
        <v>714-1411</v>
      </c>
      <c r="D295" s="2" t="str">
        <f>"井原市美星町大倉２４６７－４"</f>
        <v>井原市美星町大倉２４６７－４</v>
      </c>
      <c r="E295" s="1">
        <v>46387</v>
      </c>
    </row>
    <row r="296" spans="1:5" ht="30" customHeight="1" x14ac:dyDescent="0.4">
      <c r="A296" s="3">
        <v>293</v>
      </c>
      <c r="B296" s="2" t="s">
        <v>1313</v>
      </c>
      <c r="C296" s="2" t="str">
        <f>"715-0019"</f>
        <v>715-0019</v>
      </c>
      <c r="D296" s="2" t="str">
        <f>"井原市井原町１２０５－５"</f>
        <v>井原市井原町１２０５－５</v>
      </c>
      <c r="E296" s="1">
        <v>46387</v>
      </c>
    </row>
    <row r="297" spans="1:5" ht="30" customHeight="1" x14ac:dyDescent="0.4">
      <c r="A297" s="3">
        <v>294</v>
      </c>
      <c r="B297" s="2" t="s">
        <v>1327</v>
      </c>
      <c r="C297" s="2" t="str">
        <f>"715-0019"</f>
        <v>715-0019</v>
      </c>
      <c r="D297" s="2" t="str">
        <f>"井原市井原町１２２９－１"</f>
        <v>井原市井原町１２２９－１</v>
      </c>
      <c r="E297" s="1">
        <v>46387</v>
      </c>
    </row>
    <row r="298" spans="1:5" ht="30" customHeight="1" x14ac:dyDescent="0.4">
      <c r="A298" s="3">
        <v>295</v>
      </c>
      <c r="B298" s="2" t="s">
        <v>1325</v>
      </c>
      <c r="C298" s="2" t="str">
        <f>"714-2102"</f>
        <v>714-2102</v>
      </c>
      <c r="D298" s="2" t="str">
        <f>"井原市芳井町与井４４－１"</f>
        <v>井原市芳井町与井４４－１</v>
      </c>
      <c r="E298" s="1">
        <v>46387</v>
      </c>
    </row>
    <row r="299" spans="1:5" ht="30" customHeight="1" x14ac:dyDescent="0.4">
      <c r="A299" s="3">
        <v>296</v>
      </c>
      <c r="B299" s="2" t="s">
        <v>1312</v>
      </c>
      <c r="C299" s="2" t="str">
        <f>"715-0014"</f>
        <v>715-0014</v>
      </c>
      <c r="D299" s="2" t="str">
        <f>"井原市七日市町１３１－２"</f>
        <v>井原市七日市町１３１－２</v>
      </c>
      <c r="E299" s="1">
        <v>46387</v>
      </c>
    </row>
    <row r="300" spans="1:5" ht="30" customHeight="1" x14ac:dyDescent="0.4">
      <c r="A300" s="3">
        <v>297</v>
      </c>
      <c r="B300" s="2" t="s">
        <v>1311</v>
      </c>
      <c r="C300" s="2" t="str">
        <f>"715-0025"</f>
        <v>715-0025</v>
      </c>
      <c r="D300" s="2" t="str">
        <f>"井原市笹賀町２－２１－７"</f>
        <v>井原市笹賀町２－２１－７</v>
      </c>
      <c r="E300" s="1">
        <v>46387</v>
      </c>
    </row>
    <row r="301" spans="1:5" ht="30" customHeight="1" x14ac:dyDescent="0.4">
      <c r="A301" s="3">
        <v>298</v>
      </c>
      <c r="B301" s="2" t="s">
        <v>1318</v>
      </c>
      <c r="C301" s="2" t="str">
        <f>"715-0024"</f>
        <v>715-0024</v>
      </c>
      <c r="D301" s="2" t="str">
        <f>"井原市高屋町４－２４－９"</f>
        <v>井原市高屋町４－２４－９</v>
      </c>
      <c r="E301" s="1">
        <v>46387</v>
      </c>
    </row>
    <row r="302" spans="1:5" ht="30" customHeight="1" x14ac:dyDescent="0.4">
      <c r="A302" s="3">
        <v>299</v>
      </c>
      <c r="B302" s="2" t="s">
        <v>1319</v>
      </c>
      <c r="C302" s="2" t="str">
        <f>"714-2111"</f>
        <v>714-2111</v>
      </c>
      <c r="D302" s="2" t="s">
        <v>1320</v>
      </c>
      <c r="E302" s="1">
        <v>46387</v>
      </c>
    </row>
    <row r="303" spans="1:5" ht="30" customHeight="1" x14ac:dyDescent="0.4">
      <c r="A303" s="3">
        <v>300</v>
      </c>
      <c r="B303" s="2" t="s">
        <v>1314</v>
      </c>
      <c r="C303" s="2" t="str">
        <f>"715-0019"</f>
        <v>715-0019</v>
      </c>
      <c r="D303" s="2" t="s">
        <v>1315</v>
      </c>
      <c r="E303" s="1">
        <v>46387</v>
      </c>
    </row>
    <row r="304" spans="1:5" ht="30" customHeight="1" x14ac:dyDescent="0.4">
      <c r="A304" s="3">
        <v>301</v>
      </c>
      <c r="B304" s="2" t="s">
        <v>1324</v>
      </c>
      <c r="C304" s="2" t="str">
        <f>"715-0019"</f>
        <v>715-0019</v>
      </c>
      <c r="D304" s="2" t="str">
        <f>"井原市井原町５４３－９"</f>
        <v>井原市井原町５４３－９</v>
      </c>
      <c r="E304" s="1">
        <v>46387</v>
      </c>
    </row>
    <row r="305" spans="1:5" ht="30" customHeight="1" x14ac:dyDescent="0.4">
      <c r="A305" s="3">
        <v>302</v>
      </c>
      <c r="B305" s="2" t="s">
        <v>1328</v>
      </c>
      <c r="C305" s="2" t="str">
        <f>"715-0024"</f>
        <v>715-0024</v>
      </c>
      <c r="D305" s="2" t="str">
        <f>"井原市高屋町２４６－１"</f>
        <v>井原市高屋町２４６－１</v>
      </c>
      <c r="E305" s="1">
        <v>48213</v>
      </c>
    </row>
    <row r="306" spans="1:5" ht="30" customHeight="1" x14ac:dyDescent="0.4">
      <c r="A306" s="3">
        <v>303</v>
      </c>
      <c r="B306" s="2" t="s">
        <v>1326</v>
      </c>
      <c r="C306" s="2" t="str">
        <f>"715-0006"</f>
        <v>715-0006</v>
      </c>
      <c r="D306" s="2" t="str">
        <f>"井原市西江原町６６６－５"</f>
        <v>井原市西江原町６６６－５</v>
      </c>
      <c r="E306" s="1">
        <v>46387</v>
      </c>
    </row>
    <row r="307" spans="1:5" ht="30" customHeight="1" x14ac:dyDescent="0.4">
      <c r="A307" s="3">
        <v>304</v>
      </c>
      <c r="B307" s="2" t="s">
        <v>1316</v>
      </c>
      <c r="C307" s="2" t="str">
        <f>"715-0015"</f>
        <v>715-0015</v>
      </c>
      <c r="D307" s="2" t="str">
        <f>"井原市西方町１４２５－３"</f>
        <v>井原市西方町１４２５－３</v>
      </c>
      <c r="E307" s="1">
        <v>46387</v>
      </c>
    </row>
    <row r="308" spans="1:5" ht="30" customHeight="1" x14ac:dyDescent="0.4">
      <c r="A308" s="3">
        <v>305</v>
      </c>
      <c r="B308" s="2" t="s">
        <v>1322</v>
      </c>
      <c r="C308" s="2" t="str">
        <f>"715-0014"</f>
        <v>715-0014</v>
      </c>
      <c r="D308" s="2" t="s">
        <v>1323</v>
      </c>
      <c r="E308" s="1">
        <v>46387</v>
      </c>
    </row>
    <row r="309" spans="1:5" ht="30" customHeight="1" x14ac:dyDescent="0.4">
      <c r="A309" s="3">
        <v>306</v>
      </c>
      <c r="B309" s="2" t="s">
        <v>1351</v>
      </c>
      <c r="C309" s="2" t="str">
        <f>"719-1136"</f>
        <v>719-1136</v>
      </c>
      <c r="D309" s="2" t="str">
        <f>"総社市駅前１丁目２－１０８"</f>
        <v>総社市駅前１丁目２－１０８</v>
      </c>
      <c r="E309" s="1">
        <v>48213</v>
      </c>
    </row>
    <row r="310" spans="1:5" ht="30" customHeight="1" x14ac:dyDescent="0.4">
      <c r="A310" s="3">
        <v>307</v>
      </c>
      <c r="B310" s="2" t="s">
        <v>1355</v>
      </c>
      <c r="C310" s="2" t="str">
        <f>"719-1131"</f>
        <v>719-1131</v>
      </c>
      <c r="D310" s="2" t="str">
        <f>"総社市中央２丁目2-111"</f>
        <v>総社市中央２丁目2-111</v>
      </c>
      <c r="E310" s="1">
        <v>47483</v>
      </c>
    </row>
    <row r="311" spans="1:5" ht="30" customHeight="1" x14ac:dyDescent="0.4">
      <c r="A311" s="3">
        <v>308</v>
      </c>
      <c r="B311" s="2" t="s">
        <v>1341</v>
      </c>
      <c r="C311" s="2" t="str">
        <f>"719-1126"</f>
        <v>719-1126</v>
      </c>
      <c r="D311" s="2" t="str">
        <f>"総社市総社２丁目２０－１４"</f>
        <v>総社市総社２丁目２０－１４</v>
      </c>
      <c r="E311" s="1">
        <v>46387</v>
      </c>
    </row>
    <row r="312" spans="1:5" ht="30" customHeight="1" x14ac:dyDescent="0.4">
      <c r="A312" s="3">
        <v>309</v>
      </c>
      <c r="B312" s="2" t="s">
        <v>1345</v>
      </c>
      <c r="C312" s="2" t="str">
        <f>"719-1155"</f>
        <v>719-1155</v>
      </c>
      <c r="D312" s="2" t="str">
        <f>"総社市小寺９９８－４"</f>
        <v>総社市小寺９９８－４</v>
      </c>
      <c r="E312" s="1">
        <v>46387</v>
      </c>
    </row>
    <row r="313" spans="1:5" ht="30" customHeight="1" x14ac:dyDescent="0.4">
      <c r="A313" s="3">
        <v>310</v>
      </c>
      <c r="B313" s="2" t="s">
        <v>1342</v>
      </c>
      <c r="C313" s="2" t="str">
        <f>"719-1144"</f>
        <v>719-1144</v>
      </c>
      <c r="D313" s="2" t="str">
        <f>"総社市富原３４５－２"</f>
        <v>総社市富原３４５－２</v>
      </c>
      <c r="E313" s="1">
        <v>46387</v>
      </c>
    </row>
    <row r="314" spans="1:5" ht="30" customHeight="1" x14ac:dyDescent="0.4">
      <c r="A314" s="3">
        <v>311</v>
      </c>
      <c r="B314" s="2" t="s">
        <v>1357</v>
      </c>
      <c r="C314" s="2" t="str">
        <f>"719-1162"</f>
        <v>719-1162</v>
      </c>
      <c r="D314" s="2" t="str">
        <f>"総社市岡谷１２１－１４"</f>
        <v>総社市岡谷１２１－１４</v>
      </c>
      <c r="E314" s="1">
        <v>47483</v>
      </c>
    </row>
    <row r="315" spans="1:5" ht="30" customHeight="1" x14ac:dyDescent="0.4">
      <c r="A315" s="3">
        <v>312</v>
      </c>
      <c r="B315" s="2" t="s">
        <v>1347</v>
      </c>
      <c r="C315" s="2" t="str">
        <f>"719-1125"</f>
        <v>719-1125</v>
      </c>
      <c r="D315" s="2" t="str">
        <f>"総社市井手５８８－１"</f>
        <v>総社市井手５８８－１</v>
      </c>
      <c r="E315" s="1">
        <v>46752</v>
      </c>
    </row>
    <row r="316" spans="1:5" ht="30" customHeight="1" x14ac:dyDescent="0.4">
      <c r="A316" s="3">
        <v>313</v>
      </c>
      <c r="B316" s="2" t="s">
        <v>1349</v>
      </c>
      <c r="C316" s="2" t="str">
        <f>"719-1124"</f>
        <v>719-1124</v>
      </c>
      <c r="D316" s="2" t="str">
        <f>"総社市三須１３４４－３"</f>
        <v>総社市三須１３４４－３</v>
      </c>
      <c r="E316" s="1">
        <v>46387</v>
      </c>
    </row>
    <row r="317" spans="1:5" ht="30" customHeight="1" x14ac:dyDescent="0.4">
      <c r="A317" s="3">
        <v>314</v>
      </c>
      <c r="B317" s="2" t="s">
        <v>1336</v>
      </c>
      <c r="C317" s="2" t="str">
        <f>"719-1126"</f>
        <v>719-1126</v>
      </c>
      <c r="D317" s="2" t="s">
        <v>1337</v>
      </c>
      <c r="E317" s="1">
        <v>46387</v>
      </c>
    </row>
    <row r="318" spans="1:5" ht="30" customHeight="1" x14ac:dyDescent="0.4">
      <c r="A318" s="3">
        <v>315</v>
      </c>
      <c r="B318" s="2" t="s">
        <v>1344</v>
      </c>
      <c r="C318" s="2" t="str">
        <f>"719-1134"</f>
        <v>719-1134</v>
      </c>
      <c r="D318" s="2" t="str">
        <f>"総社市真壁１２３１－６"</f>
        <v>総社市真壁１２３１－６</v>
      </c>
      <c r="E318" s="1">
        <v>46387</v>
      </c>
    </row>
    <row r="319" spans="1:5" ht="30" customHeight="1" x14ac:dyDescent="0.4">
      <c r="A319" s="3">
        <v>316</v>
      </c>
      <c r="B319" s="2" t="s">
        <v>1346</v>
      </c>
      <c r="C319" s="2" t="str">
        <f>"719-1125"</f>
        <v>719-1125</v>
      </c>
      <c r="D319" s="2" t="str">
        <f>"総社市井手１２４２－３"</f>
        <v>総社市井手１２４２－３</v>
      </c>
      <c r="E319" s="1">
        <v>46387</v>
      </c>
    </row>
    <row r="320" spans="1:5" ht="30" customHeight="1" x14ac:dyDescent="0.4">
      <c r="A320" s="3">
        <v>317</v>
      </c>
      <c r="B320" s="2" t="s">
        <v>1353</v>
      </c>
      <c r="C320" s="2" t="str">
        <f>"719-1137"</f>
        <v>719-1137</v>
      </c>
      <c r="D320" s="2" t="s">
        <v>1354</v>
      </c>
      <c r="E320" s="1">
        <v>46752</v>
      </c>
    </row>
    <row r="321" spans="1:5" ht="30" customHeight="1" x14ac:dyDescent="0.4">
      <c r="A321" s="3">
        <v>318</v>
      </c>
      <c r="B321" s="2" t="s">
        <v>1350</v>
      </c>
      <c r="C321" s="2" t="str">
        <f>"719-1162"</f>
        <v>719-1162</v>
      </c>
      <c r="D321" s="2" t="str">
        <f>"総社市岡谷３３９－１"</f>
        <v>総社市岡谷３３９－１</v>
      </c>
      <c r="E321" s="1">
        <v>47848</v>
      </c>
    </row>
    <row r="322" spans="1:5" ht="30" customHeight="1" x14ac:dyDescent="0.4">
      <c r="A322" s="3">
        <v>319</v>
      </c>
      <c r="B322" s="2" t="s">
        <v>1334</v>
      </c>
      <c r="C322" s="2" t="str">
        <f>"719-1125"</f>
        <v>719-1125</v>
      </c>
      <c r="D322" s="2" t="s">
        <v>1335</v>
      </c>
      <c r="E322" s="1">
        <v>46387</v>
      </c>
    </row>
    <row r="323" spans="1:5" ht="30" customHeight="1" x14ac:dyDescent="0.4">
      <c r="A323" s="3">
        <v>320</v>
      </c>
      <c r="B323" s="2" t="s">
        <v>1343</v>
      </c>
      <c r="C323" s="2" t="str">
        <f>"719-1131"</f>
        <v>719-1131</v>
      </c>
      <c r="D323" s="2" t="str">
        <f>"総社市中央３丁目１１－１０１"</f>
        <v>総社市中央３丁目１１－１０１</v>
      </c>
      <c r="E323" s="1">
        <v>46387</v>
      </c>
    </row>
    <row r="324" spans="1:5" ht="30" customHeight="1" x14ac:dyDescent="0.4">
      <c r="A324" s="3">
        <v>321</v>
      </c>
      <c r="B324" s="2" t="s">
        <v>974</v>
      </c>
      <c r="C324" s="2" t="str">
        <f>"719-1125"</f>
        <v>719-1125</v>
      </c>
      <c r="D324" s="2" t="str">
        <f>"総社市井手９３３－１"</f>
        <v>総社市井手９３３－１</v>
      </c>
      <c r="E324" s="1">
        <v>46387</v>
      </c>
    </row>
    <row r="325" spans="1:5" ht="30" customHeight="1" x14ac:dyDescent="0.4">
      <c r="A325" s="3">
        <v>322</v>
      </c>
      <c r="B325" s="2" t="s">
        <v>1329</v>
      </c>
      <c r="C325" s="2" t="str">
        <f>"719-1136"</f>
        <v>719-1136</v>
      </c>
      <c r="D325" s="2" t="str">
        <f>"総社市駅前２丁目１７－７"</f>
        <v>総社市駅前２丁目１７－７</v>
      </c>
      <c r="E325" s="1">
        <v>46387</v>
      </c>
    </row>
    <row r="326" spans="1:5" ht="30" customHeight="1" x14ac:dyDescent="0.4">
      <c r="A326" s="3">
        <v>323</v>
      </c>
      <c r="B326" s="2" t="s">
        <v>1340</v>
      </c>
      <c r="C326" s="2" t="str">
        <f>"719-1134"</f>
        <v>719-1134</v>
      </c>
      <c r="D326" s="2" t="str">
        <f>"総社市真壁１５８－６"</f>
        <v>総社市真壁１５８－６</v>
      </c>
      <c r="E326" s="1">
        <v>46387</v>
      </c>
    </row>
    <row r="327" spans="1:5" ht="30" customHeight="1" x14ac:dyDescent="0.4">
      <c r="A327" s="3">
        <v>324</v>
      </c>
      <c r="B327" s="2" t="s">
        <v>1332</v>
      </c>
      <c r="C327" s="2" t="str">
        <f>"719-1136"</f>
        <v>719-1136</v>
      </c>
      <c r="D327" s="2" t="str">
        <f>"総社市駅前１－４－２"</f>
        <v>総社市駅前１－４－２</v>
      </c>
      <c r="E327" s="1">
        <v>46387</v>
      </c>
    </row>
    <row r="328" spans="1:5" ht="30" customHeight="1" x14ac:dyDescent="0.4">
      <c r="A328" s="3">
        <v>325</v>
      </c>
      <c r="B328" s="2" t="s">
        <v>1356</v>
      </c>
      <c r="C328" s="2" t="str">
        <f>"719-1136"</f>
        <v>719-1136</v>
      </c>
      <c r="D328" s="2" t="str">
        <f>"総社市駅前１－８－７２"</f>
        <v>総社市駅前１－８－７２</v>
      </c>
      <c r="E328" s="1">
        <v>47483</v>
      </c>
    </row>
    <row r="329" spans="1:5" ht="30" customHeight="1" x14ac:dyDescent="0.4">
      <c r="A329" s="3">
        <v>326</v>
      </c>
      <c r="B329" s="2" t="s">
        <v>1339</v>
      </c>
      <c r="C329" s="2" t="str">
        <f>"719-1131"</f>
        <v>719-1131</v>
      </c>
      <c r="D329" s="2" t="str">
        <f>"総社市中央２丁目６－３６"</f>
        <v>総社市中央２丁目６－３６</v>
      </c>
      <c r="E329" s="1">
        <v>46387</v>
      </c>
    </row>
    <row r="330" spans="1:5" ht="30" customHeight="1" x14ac:dyDescent="0.4">
      <c r="A330" s="3">
        <v>327</v>
      </c>
      <c r="B330" s="2" t="s">
        <v>1338</v>
      </c>
      <c r="C330" s="2" t="str">
        <f>"719-1131"</f>
        <v>719-1131</v>
      </c>
      <c r="D330" s="2" t="str">
        <f>"総社市中央１丁目２２－１０１"</f>
        <v>総社市中央１丁目２２－１０１</v>
      </c>
      <c r="E330" s="1">
        <v>46387</v>
      </c>
    </row>
    <row r="331" spans="1:5" ht="30" customHeight="1" x14ac:dyDescent="0.4">
      <c r="A331" s="3">
        <v>328</v>
      </c>
      <c r="B331" s="2" t="s">
        <v>1352</v>
      </c>
      <c r="C331" s="2" t="str">
        <f>"719-1126"</f>
        <v>719-1126</v>
      </c>
      <c r="D331" s="2" t="str">
        <f>"総社市総社二丁目１４－４"</f>
        <v>総社市総社二丁目１４－４</v>
      </c>
      <c r="E331" s="1">
        <v>46387</v>
      </c>
    </row>
    <row r="332" spans="1:5" ht="30" customHeight="1" x14ac:dyDescent="0.4">
      <c r="A332" s="3">
        <v>329</v>
      </c>
      <c r="B332" s="2" t="s">
        <v>1333</v>
      </c>
      <c r="C332" s="2" t="str">
        <f>"719-1137"</f>
        <v>719-1137</v>
      </c>
      <c r="D332" s="2" t="str">
        <f>"総社市駅南２丁目４１－１２"</f>
        <v>総社市駅南２丁目４１－１２</v>
      </c>
      <c r="E332" s="1">
        <v>46387</v>
      </c>
    </row>
    <row r="333" spans="1:5" ht="30" customHeight="1" x14ac:dyDescent="0.4">
      <c r="A333" s="3">
        <v>330</v>
      </c>
      <c r="B333" s="2" t="s">
        <v>1330</v>
      </c>
      <c r="C333" s="2" t="str">
        <f>"719-1156"</f>
        <v>719-1156</v>
      </c>
      <c r="D333" s="2" t="s">
        <v>1331</v>
      </c>
      <c r="E333" s="1">
        <v>46387</v>
      </c>
    </row>
    <row r="334" spans="1:5" ht="30" customHeight="1" x14ac:dyDescent="0.4">
      <c r="A334" s="3">
        <v>331</v>
      </c>
      <c r="B334" s="2" t="s">
        <v>1348</v>
      </c>
      <c r="C334" s="2" t="str">
        <f>"719-1131"</f>
        <v>719-1131</v>
      </c>
      <c r="D334" s="2" t="str">
        <f>"総社市中央６－１５－１１９"</f>
        <v>総社市中央６－１５－１１９</v>
      </c>
      <c r="E334" s="1">
        <v>47483</v>
      </c>
    </row>
    <row r="335" spans="1:5" ht="30" customHeight="1" x14ac:dyDescent="0.4">
      <c r="A335" s="3">
        <v>332</v>
      </c>
      <c r="B335" s="2" t="s">
        <v>1360</v>
      </c>
      <c r="C335" s="2" t="str">
        <f>"716-0033"</f>
        <v>716-0033</v>
      </c>
      <c r="D335" s="2" t="str">
        <f>"高梁市南町７９－１"</f>
        <v>高梁市南町７９－１</v>
      </c>
      <c r="E335" s="1">
        <v>46387</v>
      </c>
    </row>
    <row r="336" spans="1:5" ht="30" customHeight="1" x14ac:dyDescent="0.4">
      <c r="A336" s="3">
        <v>333</v>
      </c>
      <c r="B336" s="2" t="s">
        <v>1362</v>
      </c>
      <c r="C336" s="2" t="str">
        <f>"716-0111"</f>
        <v>716-0111</v>
      </c>
      <c r="D336" s="2" t="s">
        <v>1363</v>
      </c>
      <c r="E336" s="1">
        <v>46387</v>
      </c>
    </row>
    <row r="337" spans="1:5" ht="30" customHeight="1" x14ac:dyDescent="0.4">
      <c r="A337" s="3">
        <v>334</v>
      </c>
      <c r="B337" s="2" t="s">
        <v>1359</v>
      </c>
      <c r="C337" s="2" t="str">
        <f>"716-0061"</f>
        <v>716-0061</v>
      </c>
      <c r="D337" s="2" t="str">
        <f>"高梁市落合町阿部５９９－１９"</f>
        <v>高梁市落合町阿部５９９－１９</v>
      </c>
      <c r="E337" s="1">
        <v>46387</v>
      </c>
    </row>
    <row r="338" spans="1:5" ht="30" customHeight="1" x14ac:dyDescent="0.4">
      <c r="A338" s="3">
        <v>335</v>
      </c>
      <c r="B338" s="2" t="s">
        <v>1358</v>
      </c>
      <c r="C338" s="2" t="str">
        <f>"716-0061"</f>
        <v>716-0061</v>
      </c>
      <c r="D338" s="2" t="str">
        <f>"高梁市落合町阿部１６７６－５"</f>
        <v>高梁市落合町阿部１６７６－５</v>
      </c>
      <c r="E338" s="1">
        <v>46387</v>
      </c>
    </row>
    <row r="339" spans="1:5" ht="30" customHeight="1" x14ac:dyDescent="0.4">
      <c r="A339" s="3">
        <v>336</v>
      </c>
      <c r="B339" s="2" t="s">
        <v>1365</v>
      </c>
      <c r="C339" s="2" t="str">
        <f>"716-0061"</f>
        <v>716-0061</v>
      </c>
      <c r="D339" s="2" t="str">
        <f>"高梁市落合町阿部２１４３－５"</f>
        <v>高梁市落合町阿部２１４３－５</v>
      </c>
      <c r="E339" s="1">
        <v>46387</v>
      </c>
    </row>
    <row r="340" spans="1:5" ht="30" customHeight="1" x14ac:dyDescent="0.4">
      <c r="A340" s="3">
        <v>337</v>
      </c>
      <c r="B340" s="2" t="s">
        <v>1368</v>
      </c>
      <c r="C340" s="2" t="str">
        <f>"716-0033"</f>
        <v>716-0033</v>
      </c>
      <c r="D340" s="2" t="str">
        <f>"高梁市南町７９－２"</f>
        <v>高梁市南町７９－２</v>
      </c>
      <c r="E340" s="1">
        <v>48213</v>
      </c>
    </row>
    <row r="341" spans="1:5" ht="30" customHeight="1" x14ac:dyDescent="0.4">
      <c r="A341" s="3">
        <v>338</v>
      </c>
      <c r="B341" s="2" t="s">
        <v>1366</v>
      </c>
      <c r="C341" s="2" t="str">
        <f>"716-0045"</f>
        <v>716-0045</v>
      </c>
      <c r="D341" s="2" t="str">
        <f>"高梁市中原町1084-1ポルカ天満屋ハピータウン1階"</f>
        <v>高梁市中原町1084-1ポルカ天満屋ハピータウン1階</v>
      </c>
      <c r="E341" s="1">
        <v>46752</v>
      </c>
    </row>
    <row r="342" spans="1:5" ht="30" customHeight="1" x14ac:dyDescent="0.4">
      <c r="A342" s="3">
        <v>339</v>
      </c>
      <c r="B342" s="2" t="s">
        <v>1361</v>
      </c>
      <c r="C342" s="2" t="str">
        <f>"716-0111"</f>
        <v>716-0111</v>
      </c>
      <c r="D342" s="2" t="str">
        <f>"高梁市成羽町下原３２６－１"</f>
        <v>高梁市成羽町下原３２６－１</v>
      </c>
      <c r="E342" s="1">
        <v>46387</v>
      </c>
    </row>
    <row r="343" spans="1:5" ht="30" customHeight="1" x14ac:dyDescent="0.4">
      <c r="A343" s="3">
        <v>340</v>
      </c>
      <c r="B343" s="2" t="s">
        <v>1190</v>
      </c>
      <c r="C343" s="2" t="str">
        <f>"716-0034"</f>
        <v>716-0034</v>
      </c>
      <c r="D343" s="2" t="str">
        <f>"高梁市東町１８９８－４"</f>
        <v>高梁市東町１８９８－４</v>
      </c>
      <c r="E343" s="1">
        <v>46387</v>
      </c>
    </row>
    <row r="344" spans="1:5" ht="30" customHeight="1" x14ac:dyDescent="0.4">
      <c r="A344" s="3">
        <v>341</v>
      </c>
      <c r="B344" s="2" t="s">
        <v>976</v>
      </c>
      <c r="C344" s="2" t="str">
        <f>"716-0033"</f>
        <v>716-0033</v>
      </c>
      <c r="D344" s="2" t="s">
        <v>1367</v>
      </c>
      <c r="E344" s="1">
        <v>48213</v>
      </c>
    </row>
    <row r="345" spans="1:5" ht="30" customHeight="1" x14ac:dyDescent="0.4">
      <c r="A345" s="3">
        <v>342</v>
      </c>
      <c r="B345" s="2" t="s">
        <v>1364</v>
      </c>
      <c r="C345" s="2" t="str">
        <f>"716-0028"</f>
        <v>716-0028</v>
      </c>
      <c r="D345" s="2" t="str">
        <f>"高梁市柿木町２０－１"</f>
        <v>高梁市柿木町２０－１</v>
      </c>
      <c r="E345" s="1">
        <v>46387</v>
      </c>
    </row>
    <row r="346" spans="1:5" ht="30" customHeight="1" x14ac:dyDescent="0.4">
      <c r="A346" s="3">
        <v>343</v>
      </c>
      <c r="B346" s="2" t="s">
        <v>1370</v>
      </c>
      <c r="C346" s="2" t="str">
        <f>"718-0003"</f>
        <v>718-0003</v>
      </c>
      <c r="D346" s="2" t="str">
        <f>"新見市高尾７９２－７"</f>
        <v>新見市高尾７９２－７</v>
      </c>
      <c r="E346" s="1">
        <v>46387</v>
      </c>
    </row>
    <row r="347" spans="1:5" ht="30" customHeight="1" x14ac:dyDescent="0.4">
      <c r="A347" s="3">
        <v>344</v>
      </c>
      <c r="B347" s="2" t="s">
        <v>1371</v>
      </c>
      <c r="C347" s="2" t="str">
        <f>"718-0017"</f>
        <v>718-0017</v>
      </c>
      <c r="D347" s="2" t="str">
        <f>"新見市西方４３６－３"</f>
        <v>新見市西方４３６－３</v>
      </c>
      <c r="E347" s="1">
        <v>46387</v>
      </c>
    </row>
    <row r="348" spans="1:5" ht="30" customHeight="1" x14ac:dyDescent="0.4">
      <c r="A348" s="3">
        <v>345</v>
      </c>
      <c r="B348" s="2" t="s">
        <v>1369</v>
      </c>
      <c r="C348" s="2" t="str">
        <f>"718-0003"</f>
        <v>718-0003</v>
      </c>
      <c r="D348" s="2" t="str">
        <f>"新見市高尾２４８８－１１"</f>
        <v>新見市高尾２４８８－１１</v>
      </c>
      <c r="E348" s="1">
        <v>46387</v>
      </c>
    </row>
    <row r="349" spans="1:5" ht="30" customHeight="1" x14ac:dyDescent="0.4">
      <c r="A349" s="3">
        <v>346</v>
      </c>
      <c r="B349" s="2" t="s">
        <v>1377</v>
      </c>
      <c r="C349" s="2" t="str">
        <f>"718-0003"</f>
        <v>718-0003</v>
      </c>
      <c r="D349" s="2" t="str">
        <f>"新見市高尾７８９－１"</f>
        <v>新見市高尾７８９－１</v>
      </c>
      <c r="E349" s="1">
        <v>48213</v>
      </c>
    </row>
    <row r="350" spans="1:5" ht="30" customHeight="1" x14ac:dyDescent="0.4">
      <c r="A350" s="3">
        <v>347</v>
      </c>
      <c r="B350" s="2" t="s">
        <v>1477</v>
      </c>
      <c r="C350" s="2" t="str">
        <f>"719-3503"</f>
        <v>719-3503</v>
      </c>
      <c r="D350" s="2" t="str">
        <f>"新見市大佐小阪部小守田１４６４－３"</f>
        <v>新見市大佐小阪部小守田１４６４－３</v>
      </c>
      <c r="E350" s="1">
        <v>46387</v>
      </c>
    </row>
    <row r="351" spans="1:5" ht="30" customHeight="1" x14ac:dyDescent="0.4">
      <c r="A351" s="3">
        <v>348</v>
      </c>
      <c r="B351" s="2" t="s">
        <v>1378</v>
      </c>
      <c r="C351" s="2" t="str">
        <f>"718-0013"</f>
        <v>718-0013</v>
      </c>
      <c r="D351" s="2" t="s">
        <v>1379</v>
      </c>
      <c r="E351" s="1">
        <v>47483</v>
      </c>
    </row>
    <row r="352" spans="1:5" ht="30" customHeight="1" x14ac:dyDescent="0.4">
      <c r="A352" s="3">
        <v>349</v>
      </c>
      <c r="B352" s="2" t="s">
        <v>1372</v>
      </c>
      <c r="C352" s="2" t="str">
        <f>"718-0011"</f>
        <v>718-0011</v>
      </c>
      <c r="D352" s="2" t="s">
        <v>1373</v>
      </c>
      <c r="E352" s="1">
        <v>46387</v>
      </c>
    </row>
    <row r="353" spans="1:5" ht="30" customHeight="1" x14ac:dyDescent="0.4">
      <c r="A353" s="3">
        <v>350</v>
      </c>
      <c r="B353" s="2" t="s">
        <v>1376</v>
      </c>
      <c r="C353" s="2" t="str">
        <f>"718-0003"</f>
        <v>718-0003</v>
      </c>
      <c r="D353" s="2" t="str">
        <f>"新見市高尾２２９２－１"</f>
        <v>新見市高尾２２９２－１</v>
      </c>
      <c r="E353" s="1">
        <v>46387</v>
      </c>
    </row>
    <row r="354" spans="1:5" ht="30" customHeight="1" x14ac:dyDescent="0.4">
      <c r="A354" s="3">
        <v>351</v>
      </c>
      <c r="B354" s="2" t="s">
        <v>1374</v>
      </c>
      <c r="C354" s="2" t="str">
        <f>"718-0011"</f>
        <v>718-0011</v>
      </c>
      <c r="D354" s="2" t="str">
        <f>"新見市新見７４３－１"</f>
        <v>新見市新見７４３－１</v>
      </c>
      <c r="E354" s="1">
        <v>46387</v>
      </c>
    </row>
    <row r="355" spans="1:5" ht="30" customHeight="1" x14ac:dyDescent="0.4">
      <c r="A355" s="3">
        <v>352</v>
      </c>
      <c r="B355" s="2" t="s">
        <v>1375</v>
      </c>
      <c r="C355" s="2" t="str">
        <f>"718-0015"</f>
        <v>718-0015</v>
      </c>
      <c r="D355" s="2" t="str">
        <f>"新見市石蟹６５－５"</f>
        <v>新見市石蟹６５－５</v>
      </c>
      <c r="E355" s="1">
        <v>46387</v>
      </c>
    </row>
    <row r="356" spans="1:5" ht="30" customHeight="1" x14ac:dyDescent="0.4">
      <c r="A356" s="3">
        <v>353</v>
      </c>
      <c r="B356" s="2" t="s">
        <v>1380</v>
      </c>
      <c r="C356" s="2" t="str">
        <f>"705-0001"</f>
        <v>705-0001</v>
      </c>
      <c r="D356" s="2" t="str">
        <f>"備前市伊部４００－１３"</f>
        <v>備前市伊部４００－１３</v>
      </c>
      <c r="E356" s="1">
        <v>46387</v>
      </c>
    </row>
    <row r="357" spans="1:5" ht="30" customHeight="1" x14ac:dyDescent="0.4">
      <c r="A357" s="3">
        <v>354</v>
      </c>
      <c r="B357" s="2" t="s">
        <v>1388</v>
      </c>
      <c r="C357" s="2" t="str">
        <f>"705-0021"</f>
        <v>705-0021</v>
      </c>
      <c r="D357" s="2" t="str">
        <f>"備前市西片上1120-7"</f>
        <v>備前市西片上1120-7</v>
      </c>
      <c r="E357" s="1">
        <v>46752</v>
      </c>
    </row>
    <row r="358" spans="1:5" ht="30" customHeight="1" x14ac:dyDescent="0.4">
      <c r="A358" s="3">
        <v>355</v>
      </c>
      <c r="B358" s="2" t="s">
        <v>1386</v>
      </c>
      <c r="C358" s="2" t="str">
        <f>"705-0001"</f>
        <v>705-0001</v>
      </c>
      <c r="D358" s="2" t="s">
        <v>1387</v>
      </c>
      <c r="E358" s="1">
        <v>48213</v>
      </c>
    </row>
    <row r="359" spans="1:5" ht="30" customHeight="1" x14ac:dyDescent="0.4">
      <c r="A359" s="3">
        <v>356</v>
      </c>
      <c r="B359" s="2" t="s">
        <v>1383</v>
      </c>
      <c r="C359" s="2" t="str">
        <f>"705-0001"</f>
        <v>705-0001</v>
      </c>
      <c r="D359" s="2" t="str">
        <f>"備前市伊部９０－５"</f>
        <v>備前市伊部９０－５</v>
      </c>
      <c r="E359" s="1">
        <v>46387</v>
      </c>
    </row>
    <row r="360" spans="1:5" ht="30" customHeight="1" x14ac:dyDescent="0.4">
      <c r="A360" s="3">
        <v>357</v>
      </c>
      <c r="B360" s="2" t="s">
        <v>1384</v>
      </c>
      <c r="C360" s="2" t="str">
        <f>"705-0001"</f>
        <v>705-0001</v>
      </c>
      <c r="D360" s="2" t="str">
        <f>"備前市伊部１２５９－２"</f>
        <v>備前市伊部１２５９－２</v>
      </c>
      <c r="E360" s="1">
        <v>46387</v>
      </c>
    </row>
    <row r="361" spans="1:5" ht="30" customHeight="1" x14ac:dyDescent="0.4">
      <c r="A361" s="3">
        <v>358</v>
      </c>
      <c r="B361" s="2" t="s">
        <v>1385</v>
      </c>
      <c r="C361" s="2" t="str">
        <f>"705-0033"</f>
        <v>705-0033</v>
      </c>
      <c r="D361" s="2" t="str">
        <f>"備前市穂浪２８３５－９"</f>
        <v>備前市穂浪２８３５－９</v>
      </c>
      <c r="E361" s="1">
        <v>47483</v>
      </c>
    </row>
    <row r="362" spans="1:5" ht="30" customHeight="1" x14ac:dyDescent="0.4">
      <c r="A362" s="3">
        <v>359</v>
      </c>
      <c r="B362" s="2" t="s">
        <v>1381</v>
      </c>
      <c r="C362" s="2" t="str">
        <f>"705-0001"</f>
        <v>705-0001</v>
      </c>
      <c r="D362" s="2" t="str">
        <f>"備前市伊部２１５５－２"</f>
        <v>備前市伊部２１５５－２</v>
      </c>
      <c r="E362" s="1">
        <v>46387</v>
      </c>
    </row>
    <row r="363" spans="1:5" ht="30" customHeight="1" x14ac:dyDescent="0.4">
      <c r="A363" s="3">
        <v>360</v>
      </c>
      <c r="B363" s="2" t="s">
        <v>1382</v>
      </c>
      <c r="C363" s="2" t="str">
        <f>"705-0132"</f>
        <v>705-0132</v>
      </c>
      <c r="D363" s="2" t="str">
        <f>"備前市三石１６６－３"</f>
        <v>備前市三石１６６－３</v>
      </c>
      <c r="E363" s="1">
        <v>46387</v>
      </c>
    </row>
    <row r="364" spans="1:5" ht="30" customHeight="1" x14ac:dyDescent="0.4">
      <c r="A364" s="3">
        <v>361</v>
      </c>
      <c r="B364" s="2" t="s">
        <v>1390</v>
      </c>
      <c r="C364" s="2" t="str">
        <f>"701-4265"</f>
        <v>701-4265</v>
      </c>
      <c r="D364" s="2" t="str">
        <f>"瀬戸内市長船町福岡１０３－１３"</f>
        <v>瀬戸内市長船町福岡１０３－１３</v>
      </c>
      <c r="E364" s="1">
        <v>46387</v>
      </c>
    </row>
    <row r="365" spans="1:5" ht="30" customHeight="1" x14ac:dyDescent="0.4">
      <c r="A365" s="3">
        <v>362</v>
      </c>
      <c r="B365" s="2" t="s">
        <v>1398</v>
      </c>
      <c r="C365" s="2" t="str">
        <f>"701-4232"</f>
        <v>701-4232</v>
      </c>
      <c r="D365" s="2" t="str">
        <f>"瀬戸内市邑久町北島４９４－１"</f>
        <v>瀬戸内市邑久町北島４９４－１</v>
      </c>
      <c r="E365" s="1">
        <v>46752</v>
      </c>
    </row>
    <row r="366" spans="1:5" ht="30" customHeight="1" x14ac:dyDescent="0.4">
      <c r="A366" s="3">
        <v>363</v>
      </c>
      <c r="B366" s="2" t="s">
        <v>1397</v>
      </c>
      <c r="C366" s="2" t="str">
        <f>"701-4276"</f>
        <v>701-4276</v>
      </c>
      <c r="D366" s="2" t="str">
        <f>"瀬戸内市長船町服部５２２－１"</f>
        <v>瀬戸内市長船町服部５２２－１</v>
      </c>
      <c r="E366" s="1">
        <v>46752</v>
      </c>
    </row>
    <row r="367" spans="1:5" ht="30" customHeight="1" x14ac:dyDescent="0.4">
      <c r="A367" s="3">
        <v>364</v>
      </c>
      <c r="B367" s="2" t="s">
        <v>1393</v>
      </c>
      <c r="C367" s="2" t="str">
        <f>"701-4246"</f>
        <v>701-4246</v>
      </c>
      <c r="D367" s="2" t="str">
        <f>"瀬戸内市邑久町山田庄２１２－１１"</f>
        <v>瀬戸内市邑久町山田庄２１２－１１</v>
      </c>
      <c r="E367" s="1">
        <v>46387</v>
      </c>
    </row>
    <row r="368" spans="1:5" ht="30" customHeight="1" x14ac:dyDescent="0.4">
      <c r="A368" s="3">
        <v>365</v>
      </c>
      <c r="B368" s="2" t="s">
        <v>1389</v>
      </c>
      <c r="C368" s="2" t="str">
        <f>"701-4264"</f>
        <v>701-4264</v>
      </c>
      <c r="D368" s="2" t="str">
        <f>"瀬戸内市長船町土師３３２－２"</f>
        <v>瀬戸内市長船町土師３３２－２</v>
      </c>
      <c r="E368" s="1">
        <v>46387</v>
      </c>
    </row>
    <row r="369" spans="1:5" ht="30" customHeight="1" x14ac:dyDescent="0.4">
      <c r="A369" s="3">
        <v>366</v>
      </c>
      <c r="B369" s="2" t="s">
        <v>1453</v>
      </c>
      <c r="C369" s="2" t="str">
        <f>"701-4302"</f>
        <v>701-4302</v>
      </c>
      <c r="D369" s="2" t="str">
        <f>"瀬戸内市牛窓町牛窓４８０８－３"</f>
        <v>瀬戸内市牛窓町牛窓４８０８－３</v>
      </c>
      <c r="E369" s="1">
        <v>46387</v>
      </c>
    </row>
    <row r="370" spans="1:5" ht="30" customHeight="1" x14ac:dyDescent="0.4">
      <c r="A370" s="3">
        <v>367</v>
      </c>
      <c r="B370" s="2" t="s">
        <v>1396</v>
      </c>
      <c r="C370" s="2" t="str">
        <f>"701-4246"</f>
        <v>701-4246</v>
      </c>
      <c r="D370" s="2" t="str">
        <f>"瀬戸内市邑久町山田庄８４５－１"</f>
        <v>瀬戸内市邑久町山田庄８４５－１</v>
      </c>
      <c r="E370" s="1">
        <v>47848</v>
      </c>
    </row>
    <row r="371" spans="1:5" ht="30" customHeight="1" x14ac:dyDescent="0.4">
      <c r="A371" s="3">
        <v>368</v>
      </c>
      <c r="B371" s="2" t="s">
        <v>1391</v>
      </c>
      <c r="C371" s="2" t="str">
        <f>"701-4223"</f>
        <v>701-4223</v>
      </c>
      <c r="D371" s="2" t="str">
        <f>"瀬戸内市邑久町豊原８６－１"</f>
        <v>瀬戸内市邑久町豊原８６－１</v>
      </c>
      <c r="E371" s="1">
        <v>46387</v>
      </c>
    </row>
    <row r="372" spans="1:5" ht="30" customHeight="1" x14ac:dyDescent="0.4">
      <c r="A372" s="3">
        <v>369</v>
      </c>
      <c r="B372" s="2" t="s">
        <v>1394</v>
      </c>
      <c r="C372" s="2" t="str">
        <f>"701-4223"</f>
        <v>701-4223</v>
      </c>
      <c r="D372" s="2" t="str">
        <f>"瀬戸内市邑久町豊原３３９－２"</f>
        <v>瀬戸内市邑久町豊原３３９－２</v>
      </c>
      <c r="E372" s="1">
        <v>47848</v>
      </c>
    </row>
    <row r="373" spans="1:5" ht="30" customHeight="1" x14ac:dyDescent="0.4">
      <c r="A373" s="3">
        <v>370</v>
      </c>
      <c r="B373" s="2" t="s">
        <v>1395</v>
      </c>
      <c r="C373" s="2" t="str">
        <f>"701-4264"</f>
        <v>701-4264</v>
      </c>
      <c r="D373" s="2" t="str">
        <f>"瀬戸内市長船町土師１２１２－６"</f>
        <v>瀬戸内市長船町土師１２１２－６</v>
      </c>
      <c r="E373" s="1">
        <v>47848</v>
      </c>
    </row>
    <row r="374" spans="1:5" ht="30" customHeight="1" x14ac:dyDescent="0.4">
      <c r="A374" s="3">
        <v>371</v>
      </c>
      <c r="B374" s="2" t="s">
        <v>1454</v>
      </c>
      <c r="C374" s="2" t="str">
        <f>"701-4264"</f>
        <v>701-4264</v>
      </c>
      <c r="D374" s="2" t="str">
        <f>"瀬戸内市長船町土師１１２－５"</f>
        <v>瀬戸内市長船町土師１１２－５</v>
      </c>
      <c r="E374" s="1">
        <v>46387</v>
      </c>
    </row>
    <row r="375" spans="1:5" ht="30" customHeight="1" x14ac:dyDescent="0.4">
      <c r="A375" s="3">
        <v>372</v>
      </c>
      <c r="B375" s="2" t="s">
        <v>1392</v>
      </c>
      <c r="C375" s="2" t="str">
        <f>"701-4221"</f>
        <v>701-4221</v>
      </c>
      <c r="D375" s="2" t="str">
        <f>"瀬戸内市邑久町尾張１３４６－６"</f>
        <v>瀬戸内市邑久町尾張１３４６－６</v>
      </c>
      <c r="E375" s="1">
        <v>46387</v>
      </c>
    </row>
    <row r="376" spans="1:5" ht="30" customHeight="1" x14ac:dyDescent="0.4">
      <c r="A376" s="3">
        <v>373</v>
      </c>
      <c r="B376" s="2" t="s">
        <v>1399</v>
      </c>
      <c r="C376" s="2" t="str">
        <f>"709-0812"</f>
        <v>709-0812</v>
      </c>
      <c r="D376" s="2" t="str">
        <f>"赤磐市沼田１２６０－１"</f>
        <v>赤磐市沼田１２６０－１</v>
      </c>
      <c r="E376" s="1">
        <v>46387</v>
      </c>
    </row>
    <row r="377" spans="1:5" ht="30" customHeight="1" x14ac:dyDescent="0.4">
      <c r="A377" s="3">
        <v>374</v>
      </c>
      <c r="B377" s="2" t="s">
        <v>1411</v>
      </c>
      <c r="C377" s="2" t="str">
        <f>"709-0821"</f>
        <v>709-0821</v>
      </c>
      <c r="D377" s="2" t="str">
        <f>"赤磐市河本１１４１－１"</f>
        <v>赤磐市河本１１４１－１</v>
      </c>
      <c r="E377" s="1">
        <v>47848</v>
      </c>
    </row>
    <row r="378" spans="1:5" ht="30" customHeight="1" x14ac:dyDescent="0.4">
      <c r="A378" s="3">
        <v>375</v>
      </c>
      <c r="B378" s="2" t="s">
        <v>1404</v>
      </c>
      <c r="C378" s="2" t="str">
        <f>"709-0827"</f>
        <v>709-0827</v>
      </c>
      <c r="D378" s="2" t="str">
        <f>"赤磐市山陽４－１３－１"</f>
        <v>赤磐市山陽４－１３－１</v>
      </c>
      <c r="E378" s="1">
        <v>46387</v>
      </c>
    </row>
    <row r="379" spans="1:5" ht="30" customHeight="1" x14ac:dyDescent="0.4">
      <c r="A379" s="3">
        <v>376</v>
      </c>
      <c r="B379" s="2" t="s">
        <v>1401</v>
      </c>
      <c r="C379" s="2" t="str">
        <f>"709-0721"</f>
        <v>709-0721</v>
      </c>
      <c r="D379" s="2" t="str">
        <f>"赤磐市桜が丘東５丁目５－２７９"</f>
        <v>赤磐市桜が丘東５丁目５－２７９</v>
      </c>
      <c r="E379" s="1">
        <v>46387</v>
      </c>
    </row>
    <row r="380" spans="1:5" ht="30" customHeight="1" x14ac:dyDescent="0.4">
      <c r="A380" s="3">
        <v>377</v>
      </c>
      <c r="B380" s="2" t="s">
        <v>1443</v>
      </c>
      <c r="C380" s="2" t="str">
        <f>"701-2222"</f>
        <v>701-2222</v>
      </c>
      <c r="D380" s="2" t="str">
        <f>"赤磐市町苅田９４４－３"</f>
        <v>赤磐市町苅田９４４－３</v>
      </c>
      <c r="E380" s="1">
        <v>46387</v>
      </c>
    </row>
    <row r="381" spans="1:5" ht="30" customHeight="1" x14ac:dyDescent="0.4">
      <c r="A381" s="3">
        <v>378</v>
      </c>
      <c r="B381" s="2" t="s">
        <v>1405</v>
      </c>
      <c r="C381" s="2" t="str">
        <f>"709-0804"</f>
        <v>709-0804</v>
      </c>
      <c r="D381" s="2" t="str">
        <f>"赤磐市日古木７９９－１"</f>
        <v>赤磐市日古木７９９－１</v>
      </c>
      <c r="E381" s="1">
        <v>46387</v>
      </c>
    </row>
    <row r="382" spans="1:5" ht="30" customHeight="1" x14ac:dyDescent="0.4">
      <c r="A382" s="3">
        <v>379</v>
      </c>
      <c r="B382" s="2" t="s">
        <v>1406</v>
      </c>
      <c r="C382" s="2" t="str">
        <f>"709-0816"</f>
        <v>709-0816</v>
      </c>
      <c r="D382" s="2" t="str">
        <f>"赤磐市下市３６４－３"</f>
        <v>赤磐市下市３６４－３</v>
      </c>
      <c r="E382" s="1">
        <v>46387</v>
      </c>
    </row>
    <row r="383" spans="1:5" ht="30" customHeight="1" x14ac:dyDescent="0.4">
      <c r="A383" s="3">
        <v>380</v>
      </c>
      <c r="B383" s="2" t="s">
        <v>1400</v>
      </c>
      <c r="C383" s="2" t="str">
        <f>"701-2222"</f>
        <v>701-2222</v>
      </c>
      <c r="D383" s="2" t="str">
        <f>"赤磐市町苅田９４０－１"</f>
        <v>赤磐市町苅田９４０－１</v>
      </c>
      <c r="E383" s="1">
        <v>46387</v>
      </c>
    </row>
    <row r="384" spans="1:5" ht="30" customHeight="1" x14ac:dyDescent="0.4">
      <c r="A384" s="3">
        <v>381</v>
      </c>
      <c r="B384" s="2" t="s">
        <v>1050</v>
      </c>
      <c r="C384" s="2" t="str">
        <f>"709-0822"</f>
        <v>709-0822</v>
      </c>
      <c r="D384" s="2" t="str">
        <f>"赤磐市岩田６３－１"</f>
        <v>赤磐市岩田６３－１</v>
      </c>
      <c r="E384" s="1">
        <v>46387</v>
      </c>
    </row>
    <row r="385" spans="1:5" ht="30" customHeight="1" x14ac:dyDescent="0.4">
      <c r="A385" s="3">
        <v>382</v>
      </c>
      <c r="B385" s="2" t="s">
        <v>1442</v>
      </c>
      <c r="C385" s="2" t="str">
        <f>"709-0816"</f>
        <v>709-0816</v>
      </c>
      <c r="D385" s="2" t="str">
        <f>"赤磐市下市字南１８６－１"</f>
        <v>赤磐市下市字南１８６－１</v>
      </c>
      <c r="E385" s="1">
        <v>46387</v>
      </c>
    </row>
    <row r="386" spans="1:5" ht="30" customHeight="1" x14ac:dyDescent="0.4">
      <c r="A386" s="3">
        <v>383</v>
      </c>
      <c r="B386" s="2" t="s">
        <v>1407</v>
      </c>
      <c r="C386" s="2" t="str">
        <f>"701-2503"</f>
        <v>701-2503</v>
      </c>
      <c r="D386" s="2" t="str">
        <f>"赤磐市周匝７２８－４"</f>
        <v>赤磐市周匝７２８－４</v>
      </c>
      <c r="E386" s="1">
        <v>48213</v>
      </c>
    </row>
    <row r="387" spans="1:5" ht="30" customHeight="1" x14ac:dyDescent="0.4">
      <c r="A387" s="3">
        <v>384</v>
      </c>
      <c r="B387" s="2" t="s">
        <v>1408</v>
      </c>
      <c r="C387" s="2" t="str">
        <f>"701-2224"</f>
        <v>701-2224</v>
      </c>
      <c r="D387" s="2" t="str">
        <f>"赤磐市西窪田534-2"</f>
        <v>赤磐市西窪田534-2</v>
      </c>
      <c r="E387" s="1">
        <v>47118</v>
      </c>
    </row>
    <row r="388" spans="1:5" ht="30" customHeight="1" x14ac:dyDescent="0.4">
      <c r="A388" s="3">
        <v>385</v>
      </c>
      <c r="B388" s="2" t="s">
        <v>1409</v>
      </c>
      <c r="C388" s="2" t="str">
        <f>"709-0824"</f>
        <v>709-0824</v>
      </c>
      <c r="D388" s="2" t="str">
        <f>"赤磐市穂崎８５２－１"</f>
        <v>赤磐市穂崎８５２－１</v>
      </c>
      <c r="E388" s="1">
        <v>47483</v>
      </c>
    </row>
    <row r="389" spans="1:5" ht="30" customHeight="1" x14ac:dyDescent="0.4">
      <c r="A389" s="3">
        <v>386</v>
      </c>
      <c r="B389" s="2" t="s">
        <v>1410</v>
      </c>
      <c r="C389" s="2" t="str">
        <f>"709-0816"</f>
        <v>709-0816</v>
      </c>
      <c r="D389" s="2" t="str">
        <f>"赤磐市下市４７７－１"</f>
        <v>赤磐市下市４７７－１</v>
      </c>
      <c r="E389" s="1">
        <v>47848</v>
      </c>
    </row>
    <row r="390" spans="1:5" ht="30" customHeight="1" x14ac:dyDescent="0.4">
      <c r="A390" s="3">
        <v>387</v>
      </c>
      <c r="B390" s="2" t="s">
        <v>1444</v>
      </c>
      <c r="C390" s="2" t="str">
        <f>"709-0802"</f>
        <v>709-0802</v>
      </c>
      <c r="D390" s="2" t="s">
        <v>1445</v>
      </c>
      <c r="E390" s="1">
        <v>46387</v>
      </c>
    </row>
    <row r="391" spans="1:5" ht="30" customHeight="1" x14ac:dyDescent="0.4">
      <c r="A391" s="3">
        <v>388</v>
      </c>
      <c r="B391" s="2" t="s">
        <v>1402</v>
      </c>
      <c r="C391" s="2" t="str">
        <f>"709-0835"</f>
        <v>709-0835</v>
      </c>
      <c r="D391" s="2" t="s">
        <v>1403</v>
      </c>
      <c r="E391" s="1">
        <v>46387</v>
      </c>
    </row>
    <row r="392" spans="1:5" ht="30" customHeight="1" x14ac:dyDescent="0.4">
      <c r="A392" s="3">
        <v>389</v>
      </c>
      <c r="B392" s="2" t="s">
        <v>1420</v>
      </c>
      <c r="C392" s="2" t="str">
        <f>"719-3155"</f>
        <v>719-3155</v>
      </c>
      <c r="D392" s="2" t="str">
        <f>"真庭市下方1225-5"</f>
        <v>真庭市下方1225-5</v>
      </c>
      <c r="E392" s="1">
        <v>46387</v>
      </c>
    </row>
    <row r="393" spans="1:5" ht="30" customHeight="1" x14ac:dyDescent="0.4">
      <c r="A393" s="3">
        <v>390</v>
      </c>
      <c r="B393" s="2" t="s">
        <v>1481</v>
      </c>
      <c r="C393" s="2" t="str">
        <f>"719-3224"</f>
        <v>719-3224</v>
      </c>
      <c r="D393" s="2" t="s">
        <v>1482</v>
      </c>
      <c r="E393" s="1">
        <v>46387</v>
      </c>
    </row>
    <row r="394" spans="1:5" ht="30" customHeight="1" x14ac:dyDescent="0.4">
      <c r="A394" s="3">
        <v>391</v>
      </c>
      <c r="B394" s="2" t="s">
        <v>1484</v>
      </c>
      <c r="C394" s="2" t="str">
        <f>"717-0013"</f>
        <v>717-0013</v>
      </c>
      <c r="D394" s="2" t="str">
        <f>"真庭市勝山１０７３－６"</f>
        <v>真庭市勝山１０７３－６</v>
      </c>
      <c r="E394" s="1">
        <v>46387</v>
      </c>
    </row>
    <row r="395" spans="1:5" ht="30" customHeight="1" x14ac:dyDescent="0.4">
      <c r="A395" s="3">
        <v>392</v>
      </c>
      <c r="B395" s="2" t="s">
        <v>1490</v>
      </c>
      <c r="C395" s="2" t="str">
        <f>"719-3201"</f>
        <v>719-3201</v>
      </c>
      <c r="D395" s="2" t="s">
        <v>1491</v>
      </c>
      <c r="E395" s="1">
        <v>46387</v>
      </c>
    </row>
    <row r="396" spans="1:5" ht="30" customHeight="1" x14ac:dyDescent="0.4">
      <c r="A396" s="3">
        <v>393</v>
      </c>
      <c r="B396" s="2" t="s">
        <v>1486</v>
      </c>
      <c r="C396" s="2" t="str">
        <f>"719-3122"</f>
        <v>719-3122</v>
      </c>
      <c r="D396" s="2" t="str">
        <f>"真庭市下河内３１３－８"</f>
        <v>真庭市下河内３１３－８</v>
      </c>
      <c r="E396" s="1">
        <v>46387</v>
      </c>
    </row>
    <row r="397" spans="1:5" ht="30" customHeight="1" x14ac:dyDescent="0.4">
      <c r="A397" s="3">
        <v>394</v>
      </c>
      <c r="B397" s="2" t="s">
        <v>1265</v>
      </c>
      <c r="C397" s="2" t="str">
        <f>"716-1402"</f>
        <v>716-1402</v>
      </c>
      <c r="D397" s="2" t="s">
        <v>1413</v>
      </c>
      <c r="E397" s="1">
        <v>46387</v>
      </c>
    </row>
    <row r="398" spans="1:5" ht="30" customHeight="1" x14ac:dyDescent="0.4">
      <c r="A398" s="3">
        <v>395</v>
      </c>
      <c r="B398" s="2" t="s">
        <v>1485</v>
      </c>
      <c r="C398" s="2" t="str">
        <f>"717-0007"</f>
        <v>717-0007</v>
      </c>
      <c r="D398" s="2" t="str">
        <f>"真庭市本郷１８２３－３"</f>
        <v>真庭市本郷１８２３－３</v>
      </c>
      <c r="E398" s="1">
        <v>46387</v>
      </c>
    </row>
    <row r="399" spans="1:5" ht="30" customHeight="1" x14ac:dyDescent="0.4">
      <c r="A399" s="3">
        <v>396</v>
      </c>
      <c r="B399" s="2" t="s">
        <v>1487</v>
      </c>
      <c r="C399" s="2" t="str">
        <f>"717-0022"</f>
        <v>717-0022</v>
      </c>
      <c r="D399" s="2" t="s">
        <v>1488</v>
      </c>
      <c r="E399" s="1">
        <v>46387</v>
      </c>
    </row>
    <row r="400" spans="1:5" ht="30" customHeight="1" x14ac:dyDescent="0.4">
      <c r="A400" s="3">
        <v>397</v>
      </c>
      <c r="B400" s="2" t="s">
        <v>1416</v>
      </c>
      <c r="C400" s="2" t="str">
        <f>"717-0013"</f>
        <v>717-0013</v>
      </c>
      <c r="D400" s="2" t="s">
        <v>1417</v>
      </c>
      <c r="E400" s="1">
        <v>46387</v>
      </c>
    </row>
    <row r="401" spans="1:5" ht="30" customHeight="1" x14ac:dyDescent="0.4">
      <c r="A401" s="3">
        <v>398</v>
      </c>
      <c r="B401" s="2" t="s">
        <v>1479</v>
      </c>
      <c r="C401" s="2" t="str">
        <f>"719-3202"</f>
        <v>719-3202</v>
      </c>
      <c r="D401" s="2" t="str">
        <f>"真庭市中島４０５－１"</f>
        <v>真庭市中島４０５－１</v>
      </c>
      <c r="E401" s="1">
        <v>46387</v>
      </c>
    </row>
    <row r="402" spans="1:5" ht="30" customHeight="1" x14ac:dyDescent="0.4">
      <c r="A402" s="3">
        <v>399</v>
      </c>
      <c r="B402" s="2" t="s">
        <v>1483</v>
      </c>
      <c r="C402" s="2" t="str">
        <f>"719-3201"</f>
        <v>719-3201</v>
      </c>
      <c r="D402" s="2" t="str">
        <f>"真庭市久世２９２３－１"</f>
        <v>真庭市久世２９２３－１</v>
      </c>
      <c r="E402" s="1">
        <v>46387</v>
      </c>
    </row>
    <row r="403" spans="1:5" ht="30" customHeight="1" x14ac:dyDescent="0.4">
      <c r="A403" s="3">
        <v>400</v>
      </c>
      <c r="B403" s="2" t="s">
        <v>1489</v>
      </c>
      <c r="C403" s="2" t="str">
        <f>"717-0013"</f>
        <v>717-0013</v>
      </c>
      <c r="D403" s="2" t="str">
        <f>"真庭市勝山８６－１"</f>
        <v>真庭市勝山８６－１</v>
      </c>
      <c r="E403" s="1">
        <v>46387</v>
      </c>
    </row>
    <row r="404" spans="1:5" ht="30" customHeight="1" x14ac:dyDescent="0.4">
      <c r="A404" s="3">
        <v>401</v>
      </c>
      <c r="B404" s="2" t="s">
        <v>1412</v>
      </c>
      <c r="C404" s="2" t="str">
        <f>"719-3201"</f>
        <v>719-3201</v>
      </c>
      <c r="D404" s="2" t="str">
        <f>"真庭市久世２４３３－７"</f>
        <v>真庭市久世２４３３－７</v>
      </c>
      <c r="E404" s="1">
        <v>46387</v>
      </c>
    </row>
    <row r="405" spans="1:5" ht="30" customHeight="1" x14ac:dyDescent="0.4">
      <c r="A405" s="3">
        <v>402</v>
      </c>
      <c r="B405" s="2" t="s">
        <v>1419</v>
      </c>
      <c r="C405" s="2" t="str">
        <f>"719-3115"</f>
        <v>719-3115</v>
      </c>
      <c r="D405" s="2" t="str">
        <f>"真庭市中４４８－１"</f>
        <v>真庭市中４４８－１</v>
      </c>
      <c r="E405" s="1">
        <v>47848</v>
      </c>
    </row>
    <row r="406" spans="1:5" ht="30" customHeight="1" x14ac:dyDescent="0.4">
      <c r="A406" s="3">
        <v>403</v>
      </c>
      <c r="B406" s="2" t="s">
        <v>1492</v>
      </c>
      <c r="C406" s="2" t="str">
        <f>"719-3201"</f>
        <v>719-3201</v>
      </c>
      <c r="D406" s="2" t="str">
        <f>"真庭市久世２５０９－１"</f>
        <v>真庭市久世２５０９－１</v>
      </c>
      <c r="E406" s="1">
        <v>47483</v>
      </c>
    </row>
    <row r="407" spans="1:5" ht="30" customHeight="1" x14ac:dyDescent="0.4">
      <c r="A407" s="3">
        <v>404</v>
      </c>
      <c r="B407" s="2" t="s">
        <v>1424</v>
      </c>
      <c r="C407" s="2" t="str">
        <f>"717-0403"</f>
        <v>717-0403</v>
      </c>
      <c r="D407" s="2" t="str">
        <f>"真庭市下湯原４２２－２"</f>
        <v>真庭市下湯原４２２－２</v>
      </c>
      <c r="E407" s="1">
        <v>47848</v>
      </c>
    </row>
    <row r="408" spans="1:5" ht="30" customHeight="1" x14ac:dyDescent="0.4">
      <c r="A408" s="3">
        <v>405</v>
      </c>
      <c r="B408" s="2" t="s">
        <v>1421</v>
      </c>
      <c r="C408" s="2" t="str">
        <f>"716-1421"</f>
        <v>716-1421</v>
      </c>
      <c r="D408" s="2" t="str">
        <f>"真庭市下中津井773-11"</f>
        <v>真庭市下中津井773-11</v>
      </c>
      <c r="E408" s="1">
        <v>46752</v>
      </c>
    </row>
    <row r="409" spans="1:5" ht="30" customHeight="1" x14ac:dyDescent="0.4">
      <c r="A409" s="3">
        <v>406</v>
      </c>
      <c r="B409" s="2" t="s">
        <v>1422</v>
      </c>
      <c r="C409" s="2" t="str">
        <f>"719-3141"</f>
        <v>719-3141</v>
      </c>
      <c r="D409" s="2" t="s">
        <v>1423</v>
      </c>
      <c r="E409" s="1">
        <v>47118</v>
      </c>
    </row>
    <row r="410" spans="1:5" ht="30" customHeight="1" x14ac:dyDescent="0.4">
      <c r="A410" s="3">
        <v>407</v>
      </c>
      <c r="B410" s="2" t="s">
        <v>1352</v>
      </c>
      <c r="C410" s="2" t="str">
        <f>"719-3155"</f>
        <v>719-3155</v>
      </c>
      <c r="D410" s="2" t="str">
        <f>"真庭市下方５８４－１"</f>
        <v>真庭市下方５８４－１</v>
      </c>
      <c r="E410" s="1">
        <v>47118</v>
      </c>
    </row>
    <row r="411" spans="1:5" ht="30" customHeight="1" x14ac:dyDescent="0.4">
      <c r="A411" s="3">
        <v>408</v>
      </c>
      <c r="B411" s="2" t="s">
        <v>1480</v>
      </c>
      <c r="C411" s="2" t="str">
        <f>"719-3202"</f>
        <v>719-3202</v>
      </c>
      <c r="D411" s="2" t="str">
        <f>"真庭市中島４１１－５"</f>
        <v>真庭市中島４１１－５</v>
      </c>
      <c r="E411" s="1">
        <v>46387</v>
      </c>
    </row>
    <row r="412" spans="1:5" ht="30" customHeight="1" x14ac:dyDescent="0.4">
      <c r="A412" s="3">
        <v>409</v>
      </c>
      <c r="B412" s="2" t="s">
        <v>1478</v>
      </c>
      <c r="C412" s="2" t="str">
        <f>"719-3105"</f>
        <v>719-3105</v>
      </c>
      <c r="D412" s="2" t="str">
        <f>"真庭市西原１６６－１"</f>
        <v>真庭市西原１６６－１</v>
      </c>
      <c r="E412" s="1">
        <v>46387</v>
      </c>
    </row>
    <row r="413" spans="1:5" ht="30" customHeight="1" x14ac:dyDescent="0.4">
      <c r="A413" s="3">
        <v>410</v>
      </c>
      <c r="B413" s="2" t="s">
        <v>1414</v>
      </c>
      <c r="C413" s="2" t="str">
        <f>"719-3201"</f>
        <v>719-3201</v>
      </c>
      <c r="D413" s="2" t="s">
        <v>1415</v>
      </c>
      <c r="E413" s="1">
        <v>46387</v>
      </c>
    </row>
    <row r="414" spans="1:5" ht="30" customHeight="1" x14ac:dyDescent="0.4">
      <c r="A414" s="3">
        <v>411</v>
      </c>
      <c r="B414" s="2" t="s">
        <v>1418</v>
      </c>
      <c r="C414" s="2" t="str">
        <f>"717-0024"</f>
        <v>717-0024</v>
      </c>
      <c r="D414" s="2" t="str">
        <f>"真庭市月田６８２７－１"</f>
        <v>真庭市月田６８２７－１</v>
      </c>
      <c r="E414" s="1">
        <v>47118</v>
      </c>
    </row>
    <row r="415" spans="1:5" ht="30" customHeight="1" x14ac:dyDescent="0.4">
      <c r="A415" s="3">
        <v>412</v>
      </c>
      <c r="B415" s="2" t="s">
        <v>1426</v>
      </c>
      <c r="C415" s="2" t="str">
        <f>"707-0412"</f>
        <v>707-0412</v>
      </c>
      <c r="D415" s="2" t="str">
        <f>"美作市古町１７７８－１"</f>
        <v>美作市古町１７７８－１</v>
      </c>
      <c r="E415" s="1">
        <v>46387</v>
      </c>
    </row>
    <row r="416" spans="1:5" ht="30" customHeight="1" x14ac:dyDescent="0.4">
      <c r="A416" s="3">
        <v>413</v>
      </c>
      <c r="B416" s="2" t="s">
        <v>1429</v>
      </c>
      <c r="C416" s="2" t="str">
        <f>"707-0113"</f>
        <v>707-0113</v>
      </c>
      <c r="D416" s="2" t="str">
        <f>"美作市真加部５４－４"</f>
        <v>美作市真加部５４－４</v>
      </c>
      <c r="E416" s="1">
        <v>46387</v>
      </c>
    </row>
    <row r="417" spans="1:5" ht="30" customHeight="1" x14ac:dyDescent="0.4">
      <c r="A417" s="3">
        <v>414</v>
      </c>
      <c r="B417" s="2" t="s">
        <v>1513</v>
      </c>
      <c r="C417" s="2" t="str">
        <f>"707-0003"</f>
        <v>707-0003</v>
      </c>
      <c r="D417" s="2" t="s">
        <v>1514</v>
      </c>
      <c r="E417" s="1">
        <v>46387</v>
      </c>
    </row>
    <row r="418" spans="1:5" ht="30" customHeight="1" x14ac:dyDescent="0.4">
      <c r="A418" s="3">
        <v>415</v>
      </c>
      <c r="B418" s="2" t="s">
        <v>1427</v>
      </c>
      <c r="C418" s="2" t="str">
        <f>"709-4234"</f>
        <v>709-4234</v>
      </c>
      <c r="D418" s="2" t="str">
        <f>"美作市江見４８２－１"</f>
        <v>美作市江見４８２－１</v>
      </c>
      <c r="E418" s="1">
        <v>46387</v>
      </c>
    </row>
    <row r="419" spans="1:5" ht="30" customHeight="1" x14ac:dyDescent="0.4">
      <c r="A419" s="3">
        <v>416</v>
      </c>
      <c r="B419" s="2" t="s">
        <v>1433</v>
      </c>
      <c r="C419" s="2" t="str">
        <f>"707-0015"</f>
        <v>707-0015</v>
      </c>
      <c r="D419" s="2" t="str">
        <f>"美作市豊国原３０７－１"</f>
        <v>美作市豊国原３０７－１</v>
      </c>
      <c r="E419" s="1">
        <v>48213</v>
      </c>
    </row>
    <row r="420" spans="1:5" ht="30" customHeight="1" x14ac:dyDescent="0.4">
      <c r="A420" s="3">
        <v>417</v>
      </c>
      <c r="B420" s="2" t="s">
        <v>1510</v>
      </c>
      <c r="C420" s="2" t="str">
        <f>"707-0062"</f>
        <v>707-0062</v>
      </c>
      <c r="D420" s="2" t="s">
        <v>1511</v>
      </c>
      <c r="E420" s="1">
        <v>46387</v>
      </c>
    </row>
    <row r="421" spans="1:5" ht="30" customHeight="1" x14ac:dyDescent="0.4">
      <c r="A421" s="3">
        <v>418</v>
      </c>
      <c r="B421" s="2" t="s">
        <v>1512</v>
      </c>
      <c r="C421" s="2" t="str">
        <f>"709-4234"</f>
        <v>709-4234</v>
      </c>
      <c r="D421" s="2" t="str">
        <f>"美作市江見４７６－２"</f>
        <v>美作市江見４７６－２</v>
      </c>
      <c r="E421" s="1">
        <v>46387</v>
      </c>
    </row>
    <row r="422" spans="1:5" ht="30" customHeight="1" x14ac:dyDescent="0.4">
      <c r="A422" s="3">
        <v>419</v>
      </c>
      <c r="B422" s="2" t="s">
        <v>1431</v>
      </c>
      <c r="C422" s="2" t="str">
        <f>"707-0025"</f>
        <v>707-0025</v>
      </c>
      <c r="D422" s="2" t="str">
        <f>"美作市栄町40-1"</f>
        <v>美作市栄町40-1</v>
      </c>
      <c r="E422" s="1">
        <v>47118</v>
      </c>
    </row>
    <row r="423" spans="1:5" ht="30" customHeight="1" x14ac:dyDescent="0.4">
      <c r="A423" s="3">
        <v>420</v>
      </c>
      <c r="B423" s="2" t="s">
        <v>1432</v>
      </c>
      <c r="C423" s="2" t="str">
        <f>"701-2604"</f>
        <v>701-2604</v>
      </c>
      <c r="D423" s="2" t="str">
        <f>"美作市福本572-1"</f>
        <v>美作市福本572-1</v>
      </c>
      <c r="E423" s="1">
        <v>47118</v>
      </c>
    </row>
    <row r="424" spans="1:5" ht="30" customHeight="1" x14ac:dyDescent="0.4">
      <c r="A424" s="3">
        <v>421</v>
      </c>
      <c r="B424" s="2" t="s">
        <v>1428</v>
      </c>
      <c r="C424" s="2" t="str">
        <f>"707-0062"</f>
        <v>707-0062</v>
      </c>
      <c r="D424" s="2" t="str">
        <f>"美作市湯郷８１５－４"</f>
        <v>美作市湯郷８１５－４</v>
      </c>
      <c r="E424" s="1">
        <v>46387</v>
      </c>
    </row>
    <row r="425" spans="1:5" ht="30" customHeight="1" x14ac:dyDescent="0.4">
      <c r="A425" s="3">
        <v>422</v>
      </c>
      <c r="B425" s="2" t="s">
        <v>1516</v>
      </c>
      <c r="C425" s="2" t="str">
        <f>"707-0003"</f>
        <v>707-0003</v>
      </c>
      <c r="D425" s="2" t="str">
        <f>"美作市明見３５７－１４"</f>
        <v>美作市明見３５７－１４</v>
      </c>
      <c r="E425" s="1">
        <v>46387</v>
      </c>
    </row>
    <row r="426" spans="1:5" ht="30" customHeight="1" x14ac:dyDescent="0.4">
      <c r="A426" s="3">
        <v>423</v>
      </c>
      <c r="B426" s="2" t="s">
        <v>1425</v>
      </c>
      <c r="C426" s="2" t="str">
        <f>"707-0412"</f>
        <v>707-0412</v>
      </c>
      <c r="D426" s="2" t="str">
        <f>"美作市古町１６６３－２"</f>
        <v>美作市古町１６６３－２</v>
      </c>
      <c r="E426" s="1">
        <v>46387</v>
      </c>
    </row>
    <row r="427" spans="1:5" ht="30" customHeight="1" x14ac:dyDescent="0.4">
      <c r="A427" s="3">
        <v>424</v>
      </c>
      <c r="B427" s="2" t="s">
        <v>1508</v>
      </c>
      <c r="C427" s="2" t="str">
        <f>"707-0025"</f>
        <v>707-0025</v>
      </c>
      <c r="D427" s="2" t="s">
        <v>1509</v>
      </c>
      <c r="E427" s="1">
        <v>46387</v>
      </c>
    </row>
    <row r="428" spans="1:5" ht="30" customHeight="1" x14ac:dyDescent="0.4">
      <c r="A428" s="3">
        <v>425</v>
      </c>
      <c r="B428" s="2" t="s">
        <v>1430</v>
      </c>
      <c r="C428" s="2" t="str">
        <f>"707-0062"</f>
        <v>707-0062</v>
      </c>
      <c r="D428" s="2" t="str">
        <f>"美作市湯郷915-12"</f>
        <v>美作市湯郷915-12</v>
      </c>
      <c r="E428" s="1">
        <v>47118</v>
      </c>
    </row>
    <row r="429" spans="1:5" ht="30" customHeight="1" x14ac:dyDescent="0.4">
      <c r="A429" s="3">
        <v>426</v>
      </c>
      <c r="B429" s="2" t="s">
        <v>1515</v>
      </c>
      <c r="C429" s="2" t="str">
        <f>"709-4214"</f>
        <v>709-4214</v>
      </c>
      <c r="D429" s="2" t="str">
        <f>"美作市豆田４９－４"</f>
        <v>美作市豆田４９－４</v>
      </c>
      <c r="E429" s="1">
        <v>46387</v>
      </c>
    </row>
    <row r="430" spans="1:5" ht="30" customHeight="1" x14ac:dyDescent="0.4">
      <c r="A430" s="3">
        <v>427</v>
      </c>
      <c r="B430" s="2" t="s">
        <v>1441</v>
      </c>
      <c r="C430" s="2" t="str">
        <f>"719-0243"</f>
        <v>719-0243</v>
      </c>
      <c r="D430" s="2" t="str">
        <f>"浅口市鴨方町鴨方１０９２－７"</f>
        <v>浅口市鴨方町鴨方１０９２－７</v>
      </c>
      <c r="E430" s="1">
        <v>47483</v>
      </c>
    </row>
    <row r="431" spans="1:5" ht="30" customHeight="1" x14ac:dyDescent="0.4">
      <c r="A431" s="3">
        <v>428</v>
      </c>
      <c r="B431" s="2" t="s">
        <v>1435</v>
      </c>
      <c r="C431" s="2" t="str">
        <f>"719-0244"</f>
        <v>719-0244</v>
      </c>
      <c r="D431" s="2" t="str">
        <f>"浅口市鴨方町深田９９０－４"</f>
        <v>浅口市鴨方町深田９９０－４</v>
      </c>
      <c r="E431" s="1">
        <v>46387</v>
      </c>
    </row>
    <row r="432" spans="1:5" ht="30" customHeight="1" x14ac:dyDescent="0.4">
      <c r="A432" s="3">
        <v>429</v>
      </c>
      <c r="B432" s="2" t="s">
        <v>1438</v>
      </c>
      <c r="C432" s="2" t="str">
        <f>"719-0113"</f>
        <v>719-0113</v>
      </c>
      <c r="D432" s="2" t="str">
        <f>"浅口市金光町佐方９２－２"</f>
        <v>浅口市金光町佐方９２－２</v>
      </c>
      <c r="E432" s="1">
        <v>46752</v>
      </c>
    </row>
    <row r="433" spans="1:5" ht="30" customHeight="1" x14ac:dyDescent="0.4">
      <c r="A433" s="3">
        <v>430</v>
      </c>
      <c r="B433" s="2" t="s">
        <v>1437</v>
      </c>
      <c r="C433" s="2" t="str">
        <f>"719-0104"</f>
        <v>719-0104</v>
      </c>
      <c r="D433" s="2" t="str">
        <f>"浅口市金光町占見新田３９８－６"</f>
        <v>浅口市金光町占見新田３９８－６</v>
      </c>
      <c r="E433" s="1">
        <v>47118</v>
      </c>
    </row>
    <row r="434" spans="1:5" ht="30" customHeight="1" x14ac:dyDescent="0.4">
      <c r="A434" s="3">
        <v>431</v>
      </c>
      <c r="B434" s="2" t="s">
        <v>1434</v>
      </c>
      <c r="C434" s="2" t="str">
        <f>"719-0104"</f>
        <v>719-0104</v>
      </c>
      <c r="D434" s="2" t="str">
        <f>"浅口市金光町占見新田７４０－２"</f>
        <v>浅口市金光町占見新田７４０－２</v>
      </c>
      <c r="E434" s="1">
        <v>46387</v>
      </c>
    </row>
    <row r="435" spans="1:5" ht="30" customHeight="1" x14ac:dyDescent="0.4">
      <c r="A435" s="3">
        <v>432</v>
      </c>
      <c r="B435" s="2" t="s">
        <v>1465</v>
      </c>
      <c r="C435" s="2" t="str">
        <f>"719-0243"</f>
        <v>719-0243</v>
      </c>
      <c r="D435" s="2" t="str">
        <f>"浅口市鴨方町鴨方１０７９－１３"</f>
        <v>浅口市鴨方町鴨方１０７９－１３</v>
      </c>
      <c r="E435" s="1">
        <v>46387</v>
      </c>
    </row>
    <row r="436" spans="1:5" ht="30" customHeight="1" x14ac:dyDescent="0.4">
      <c r="A436" s="3">
        <v>433</v>
      </c>
      <c r="B436" s="2" t="s">
        <v>1462</v>
      </c>
      <c r="C436" s="2" t="str">
        <f>"719-0252"</f>
        <v>719-0252</v>
      </c>
      <c r="D436" s="2" t="s">
        <v>1463</v>
      </c>
      <c r="E436" s="1">
        <v>46387</v>
      </c>
    </row>
    <row r="437" spans="1:5" ht="30" customHeight="1" x14ac:dyDescent="0.4">
      <c r="A437" s="3">
        <v>434</v>
      </c>
      <c r="B437" s="2" t="s">
        <v>1439</v>
      </c>
      <c r="C437" s="2" t="str">
        <f>"714-0101"</f>
        <v>714-0101</v>
      </c>
      <c r="D437" s="2" t="s">
        <v>1440</v>
      </c>
      <c r="E437" s="1">
        <v>47118</v>
      </c>
    </row>
    <row r="438" spans="1:5" ht="30" customHeight="1" x14ac:dyDescent="0.4">
      <c r="A438" s="3">
        <v>435</v>
      </c>
      <c r="B438" s="2" t="s">
        <v>1467</v>
      </c>
      <c r="C438" s="2" t="str">
        <f>"714-0101"</f>
        <v>714-0101</v>
      </c>
      <c r="D438" s="2" t="str">
        <f>"浅口市寄島町７５４３－１０"</f>
        <v>浅口市寄島町７５４３－１０</v>
      </c>
      <c r="E438" s="1">
        <v>46387</v>
      </c>
    </row>
    <row r="439" spans="1:5" ht="30" customHeight="1" x14ac:dyDescent="0.4">
      <c r="A439" s="3">
        <v>436</v>
      </c>
      <c r="B439" s="2" t="s">
        <v>1436</v>
      </c>
      <c r="C439" s="2" t="str">
        <f>"719-0243"</f>
        <v>719-0243</v>
      </c>
      <c r="D439" s="2" t="str">
        <f>"浅口市鴨方町鴨方１６３９－５"</f>
        <v>浅口市鴨方町鴨方１６３９－５</v>
      </c>
      <c r="E439" s="1">
        <v>46387</v>
      </c>
    </row>
    <row r="440" spans="1:5" ht="30" customHeight="1" x14ac:dyDescent="0.4">
      <c r="A440" s="3">
        <v>437</v>
      </c>
      <c r="B440" s="2" t="s">
        <v>1450</v>
      </c>
      <c r="C440" s="2" t="str">
        <f>"709-0442"</f>
        <v>709-0442</v>
      </c>
      <c r="D440" s="2" t="str">
        <f>"和気郡和気町福富６３８－３"</f>
        <v>和気郡和気町福富６３８－３</v>
      </c>
      <c r="E440" s="1">
        <v>46387</v>
      </c>
    </row>
    <row r="441" spans="1:5" ht="30" customHeight="1" x14ac:dyDescent="0.4">
      <c r="A441" s="3">
        <v>438</v>
      </c>
      <c r="B441" s="2" t="s">
        <v>1446</v>
      </c>
      <c r="C441" s="2" t="str">
        <f>"709-0451"</f>
        <v>709-0451</v>
      </c>
      <c r="D441" s="2" t="s">
        <v>1447</v>
      </c>
      <c r="E441" s="1">
        <v>46387</v>
      </c>
    </row>
    <row r="442" spans="1:5" ht="30" customHeight="1" x14ac:dyDescent="0.4">
      <c r="A442" s="3">
        <v>439</v>
      </c>
      <c r="B442" s="2" t="s">
        <v>1451</v>
      </c>
      <c r="C442" s="2" t="str">
        <f>"709-0421"</f>
        <v>709-0421</v>
      </c>
      <c r="D442" s="2" t="str">
        <f>"和気郡和気町日室１４３－１"</f>
        <v>和気郡和気町日室１４３－１</v>
      </c>
      <c r="E442" s="1">
        <v>47483</v>
      </c>
    </row>
    <row r="443" spans="1:5" ht="30" customHeight="1" x14ac:dyDescent="0.4">
      <c r="A443" s="3">
        <v>440</v>
      </c>
      <c r="B443" s="2" t="s">
        <v>1452</v>
      </c>
      <c r="C443" s="2" t="str">
        <f>"709-0413"</f>
        <v>709-0413</v>
      </c>
      <c r="D443" s="2" t="str">
        <f>"和気郡和気町泉50-5"</f>
        <v>和気郡和気町泉50-5</v>
      </c>
      <c r="E443" s="1">
        <v>47118</v>
      </c>
    </row>
    <row r="444" spans="1:5" ht="30" customHeight="1" x14ac:dyDescent="0.4">
      <c r="A444" s="3">
        <v>441</v>
      </c>
      <c r="B444" s="2" t="s">
        <v>1448</v>
      </c>
      <c r="C444" s="2" t="str">
        <f>"709-0521"</f>
        <v>709-0521</v>
      </c>
      <c r="D444" s="2" t="s">
        <v>1449</v>
      </c>
      <c r="E444" s="1">
        <v>46387</v>
      </c>
    </row>
    <row r="445" spans="1:5" ht="30" customHeight="1" x14ac:dyDescent="0.4">
      <c r="A445" s="3">
        <v>442</v>
      </c>
      <c r="B445" s="2" t="s">
        <v>1455</v>
      </c>
      <c r="C445" s="2" t="str">
        <f>"701-0303"</f>
        <v>701-0303</v>
      </c>
      <c r="D445" s="2" t="str">
        <f>"都窪郡早島町前潟２８１－２"</f>
        <v>都窪郡早島町前潟２８１－２</v>
      </c>
      <c r="E445" s="1">
        <v>46387</v>
      </c>
    </row>
    <row r="446" spans="1:5" ht="30" customHeight="1" x14ac:dyDescent="0.4">
      <c r="A446" s="3">
        <v>443</v>
      </c>
      <c r="B446" s="2" t="s">
        <v>1460</v>
      </c>
      <c r="C446" s="2" t="str">
        <f>"701-0303"</f>
        <v>701-0303</v>
      </c>
      <c r="D446" s="2" t="str">
        <f>"都窪郡早島町前潟618-11"</f>
        <v>都窪郡早島町前潟618-11</v>
      </c>
      <c r="E446" s="1">
        <v>47118</v>
      </c>
    </row>
    <row r="447" spans="1:5" ht="30" customHeight="1" x14ac:dyDescent="0.4">
      <c r="A447" s="3">
        <v>444</v>
      </c>
      <c r="B447" s="2" t="s">
        <v>1458</v>
      </c>
      <c r="C447" s="2" t="str">
        <f>"701-0304"</f>
        <v>701-0304</v>
      </c>
      <c r="D447" s="2" t="s">
        <v>1459</v>
      </c>
      <c r="E447" s="1">
        <v>46752</v>
      </c>
    </row>
    <row r="448" spans="1:5" ht="30" customHeight="1" x14ac:dyDescent="0.4">
      <c r="A448" s="3">
        <v>445</v>
      </c>
      <c r="B448" s="2" t="s">
        <v>1456</v>
      </c>
      <c r="C448" s="2" t="str">
        <f>"701-0304"</f>
        <v>701-0304</v>
      </c>
      <c r="D448" s="2" t="str">
        <f>"都窪郡早島町早島字水田３３１７－３"</f>
        <v>都窪郡早島町早島字水田３３１７－３</v>
      </c>
      <c r="E448" s="1">
        <v>46387</v>
      </c>
    </row>
    <row r="449" spans="1:5" ht="30" customHeight="1" x14ac:dyDescent="0.4">
      <c r="A449" s="3">
        <v>446</v>
      </c>
      <c r="B449" s="2" t="s">
        <v>1457</v>
      </c>
      <c r="C449" s="2" t="str">
        <f>"701-0304"</f>
        <v>701-0304</v>
      </c>
      <c r="D449" s="2" t="str">
        <f>"都窪郡早島町早島３５２６－６"</f>
        <v>都窪郡早島町早島３５２６－６</v>
      </c>
      <c r="E449" s="1">
        <v>46387</v>
      </c>
    </row>
    <row r="450" spans="1:5" ht="30" customHeight="1" x14ac:dyDescent="0.4">
      <c r="A450" s="3">
        <v>447</v>
      </c>
      <c r="B450" s="2" t="s">
        <v>1461</v>
      </c>
      <c r="C450" s="2" t="str">
        <f>"719-0303"</f>
        <v>719-0303</v>
      </c>
      <c r="D450" s="2" t="str">
        <f>"浅口郡里庄町浜中９３－１０４"</f>
        <v>浅口郡里庄町浜中９３－１０４</v>
      </c>
      <c r="E450" s="1">
        <v>46387</v>
      </c>
    </row>
    <row r="451" spans="1:5" ht="30" customHeight="1" x14ac:dyDescent="0.4">
      <c r="A451" s="3">
        <v>448</v>
      </c>
      <c r="B451" s="2" t="s">
        <v>1468</v>
      </c>
      <c r="C451" s="2" t="str">
        <f>"719-0302"</f>
        <v>719-0302</v>
      </c>
      <c r="D451" s="2" t="str">
        <f>"浅口郡里庄町新庄１３８８－３"</f>
        <v>浅口郡里庄町新庄１３８８－３</v>
      </c>
      <c r="E451" s="1">
        <v>46387</v>
      </c>
    </row>
    <row r="452" spans="1:5" ht="30" customHeight="1" x14ac:dyDescent="0.4">
      <c r="A452" s="3">
        <v>449</v>
      </c>
      <c r="B452" s="2" t="s">
        <v>1466</v>
      </c>
      <c r="C452" s="2" t="str">
        <f>"719-0302"</f>
        <v>719-0302</v>
      </c>
      <c r="D452" s="2" t="str">
        <f>"浅口郡里庄町大字新庄２９２８－２"</f>
        <v>浅口郡里庄町大字新庄２９２８－２</v>
      </c>
      <c r="E452" s="1">
        <v>46387</v>
      </c>
    </row>
    <row r="453" spans="1:5" ht="30" customHeight="1" x14ac:dyDescent="0.4">
      <c r="A453" s="3">
        <v>450</v>
      </c>
      <c r="B453" s="2" t="s">
        <v>1469</v>
      </c>
      <c r="C453" s="2" t="str">
        <f>"719-0302"</f>
        <v>719-0302</v>
      </c>
      <c r="D453" s="2" t="str">
        <f>"浅口郡里庄町新庄５３４１－１"</f>
        <v>浅口郡里庄町新庄５３４１－１</v>
      </c>
      <c r="E453" s="1">
        <v>47848</v>
      </c>
    </row>
    <row r="454" spans="1:5" ht="30" customHeight="1" x14ac:dyDescent="0.4">
      <c r="A454" s="3">
        <v>451</v>
      </c>
      <c r="B454" s="2" t="s">
        <v>1474</v>
      </c>
      <c r="C454" s="2" t="str">
        <f>"714-1227"</f>
        <v>714-1227</v>
      </c>
      <c r="D454" s="2" t="str">
        <f>"小田郡矢掛町小田5526-1"</f>
        <v>小田郡矢掛町小田5526-1</v>
      </c>
      <c r="E454" s="1">
        <v>47483</v>
      </c>
    </row>
    <row r="455" spans="1:5" ht="30" customHeight="1" x14ac:dyDescent="0.4">
      <c r="A455" s="3">
        <v>452</v>
      </c>
      <c r="B455" s="2" t="s">
        <v>1475</v>
      </c>
      <c r="C455" s="2" t="str">
        <f>"714-1202"</f>
        <v>714-1202</v>
      </c>
      <c r="D455" s="2" t="str">
        <f>"小田郡矢掛町小林２９２－１"</f>
        <v>小田郡矢掛町小林２９２－１</v>
      </c>
      <c r="E455" s="1">
        <v>47848</v>
      </c>
    </row>
    <row r="456" spans="1:5" ht="30" customHeight="1" x14ac:dyDescent="0.4">
      <c r="A456" s="3">
        <v>453</v>
      </c>
      <c r="B456" s="2" t="s">
        <v>1470</v>
      </c>
      <c r="C456" s="2" t="str">
        <f>"714-1201"</f>
        <v>714-1201</v>
      </c>
      <c r="D456" s="2" t="s">
        <v>1471</v>
      </c>
      <c r="E456" s="1">
        <v>46387</v>
      </c>
    </row>
    <row r="457" spans="1:5" ht="30" customHeight="1" x14ac:dyDescent="0.4">
      <c r="A457" s="3">
        <v>454</v>
      </c>
      <c r="B457" s="2" t="s">
        <v>1472</v>
      </c>
      <c r="C457" s="2" t="str">
        <f>"714-1201"</f>
        <v>714-1201</v>
      </c>
      <c r="D457" s="2" t="str">
        <f>"小田郡矢掛町矢掛２６８５－１"</f>
        <v>小田郡矢掛町矢掛２６８５－１</v>
      </c>
      <c r="E457" s="1">
        <v>46387</v>
      </c>
    </row>
    <row r="458" spans="1:5" ht="30" customHeight="1" x14ac:dyDescent="0.4">
      <c r="A458" s="3">
        <v>455</v>
      </c>
      <c r="B458" s="2" t="s">
        <v>1473</v>
      </c>
      <c r="C458" s="2" t="str">
        <f>"714-1201"</f>
        <v>714-1201</v>
      </c>
      <c r="D458" s="2" t="str">
        <f>"小田郡矢掛町矢掛２５５８－７"</f>
        <v>小田郡矢掛町矢掛２５５８－７</v>
      </c>
      <c r="E458" s="1">
        <v>46387</v>
      </c>
    </row>
    <row r="459" spans="1:5" ht="30" customHeight="1" x14ac:dyDescent="0.4">
      <c r="A459" s="3">
        <v>456</v>
      </c>
      <c r="B459" s="2" t="s">
        <v>1496</v>
      </c>
      <c r="C459" s="2" t="str">
        <f>"708-0323"</f>
        <v>708-0323</v>
      </c>
      <c r="D459" s="2" t="str">
        <f>"苫田郡鏡野町寺元374-2"</f>
        <v>苫田郡鏡野町寺元374-2</v>
      </c>
      <c r="E459" s="1">
        <v>47483</v>
      </c>
    </row>
    <row r="460" spans="1:5" ht="30" customHeight="1" x14ac:dyDescent="0.4">
      <c r="A460" s="3">
        <v>457</v>
      </c>
      <c r="B460" s="2" t="s">
        <v>1495</v>
      </c>
      <c r="C460" s="2" t="str">
        <f>"708-0323"</f>
        <v>708-0323</v>
      </c>
      <c r="D460" s="2" t="str">
        <f>"苫田郡鏡野町寺元341-7"</f>
        <v>苫田郡鏡野町寺元341-7</v>
      </c>
      <c r="E460" s="1">
        <v>47118</v>
      </c>
    </row>
    <row r="461" spans="1:5" ht="30" customHeight="1" x14ac:dyDescent="0.4">
      <c r="A461" s="3">
        <v>458</v>
      </c>
      <c r="B461" s="2" t="s">
        <v>1494</v>
      </c>
      <c r="C461" s="2" t="str">
        <f>"708-0332"</f>
        <v>708-0332</v>
      </c>
      <c r="D461" s="2" t="s">
        <v>1493</v>
      </c>
      <c r="E461" s="1">
        <v>46387</v>
      </c>
    </row>
    <row r="462" spans="1:5" ht="30" customHeight="1" x14ac:dyDescent="0.4">
      <c r="A462" s="3">
        <v>459</v>
      </c>
      <c r="B462" s="2" t="s">
        <v>1501</v>
      </c>
      <c r="C462" s="2" t="str">
        <f>"709-4316"</f>
        <v>709-4316</v>
      </c>
      <c r="D462" s="2" t="s">
        <v>1502</v>
      </c>
      <c r="E462" s="1">
        <v>46387</v>
      </c>
    </row>
    <row r="463" spans="1:5" ht="30" customHeight="1" x14ac:dyDescent="0.4">
      <c r="A463" s="3">
        <v>460</v>
      </c>
      <c r="B463" s="2" t="s">
        <v>1503</v>
      </c>
      <c r="C463" s="2" t="str">
        <f>"709-4312"</f>
        <v>709-4312</v>
      </c>
      <c r="D463" s="2" t="str">
        <f>"勝田郡勝央町黒土７２－２"</f>
        <v>勝田郡勝央町黒土７２－２</v>
      </c>
      <c r="E463" s="1">
        <v>46387</v>
      </c>
    </row>
    <row r="464" spans="1:5" ht="30" customHeight="1" x14ac:dyDescent="0.4">
      <c r="A464" s="3">
        <v>461</v>
      </c>
      <c r="B464" s="2" t="s">
        <v>1506</v>
      </c>
      <c r="C464" s="2" t="str">
        <f>"709-4313"</f>
        <v>709-4313</v>
      </c>
      <c r="D464" s="2" t="str">
        <f>"勝田郡勝央町小矢田６１５－１"</f>
        <v>勝田郡勝央町小矢田６１５－１</v>
      </c>
      <c r="E464" s="1">
        <v>47483</v>
      </c>
    </row>
    <row r="465" spans="1:5" ht="30" customHeight="1" x14ac:dyDescent="0.4">
      <c r="A465" s="3">
        <v>462</v>
      </c>
      <c r="B465" s="2" t="s">
        <v>1507</v>
      </c>
      <c r="C465" s="2" t="str">
        <f>"709-4335"</f>
        <v>709-4335</v>
      </c>
      <c r="D465" s="2" t="str">
        <f>"勝田郡勝央町植月中２８６４－３"</f>
        <v>勝田郡勝央町植月中２８６４－３</v>
      </c>
      <c r="E465" s="1">
        <v>47848</v>
      </c>
    </row>
    <row r="466" spans="1:5" ht="30" customHeight="1" x14ac:dyDescent="0.4">
      <c r="A466" s="3">
        <v>463</v>
      </c>
      <c r="B466" s="2" t="s">
        <v>1504</v>
      </c>
      <c r="C466" s="2" t="str">
        <f>"709-4311"</f>
        <v>709-4311</v>
      </c>
      <c r="D466" s="2" t="s">
        <v>1505</v>
      </c>
      <c r="E466" s="1">
        <v>46752</v>
      </c>
    </row>
    <row r="467" spans="1:5" ht="30" customHeight="1" x14ac:dyDescent="0.4">
      <c r="A467" s="3">
        <v>464</v>
      </c>
      <c r="B467" s="2" t="s">
        <v>1499</v>
      </c>
      <c r="C467" s="2" t="str">
        <f>"708-1323"</f>
        <v>708-1323</v>
      </c>
      <c r="D467" s="2" t="str">
        <f>"勝田郡奈義町豊沢２９２－１２"</f>
        <v>勝田郡奈義町豊沢２９２－１２</v>
      </c>
      <c r="E467" s="1">
        <v>46387</v>
      </c>
    </row>
    <row r="468" spans="1:5" ht="30" customHeight="1" x14ac:dyDescent="0.4">
      <c r="A468" s="3">
        <v>465</v>
      </c>
      <c r="B468" s="2" t="s">
        <v>1519</v>
      </c>
      <c r="C468" s="2" t="str">
        <f>"709-3614"</f>
        <v>709-3614</v>
      </c>
      <c r="D468" s="2" t="str">
        <f>"久米郡久米南町下弓削389-2"</f>
        <v>久米郡久米南町下弓削389-2</v>
      </c>
      <c r="E468" s="1">
        <v>47118</v>
      </c>
    </row>
    <row r="469" spans="1:5" ht="30" customHeight="1" x14ac:dyDescent="0.4">
      <c r="A469" s="3">
        <v>466</v>
      </c>
      <c r="B469" s="2" t="s">
        <v>1517</v>
      </c>
      <c r="C469" s="2" t="str">
        <f>"709-3627"</f>
        <v>709-3627</v>
      </c>
      <c r="D469" s="2" t="s">
        <v>1518</v>
      </c>
      <c r="E469" s="1">
        <v>46387</v>
      </c>
    </row>
    <row r="470" spans="1:5" ht="30" customHeight="1" x14ac:dyDescent="0.4">
      <c r="A470" s="3">
        <v>467</v>
      </c>
      <c r="B470" s="2" t="s">
        <v>1520</v>
      </c>
      <c r="C470" s="2" t="str">
        <f>"709-3717"</f>
        <v>709-3717</v>
      </c>
      <c r="D470" s="2" t="s">
        <v>1521</v>
      </c>
      <c r="E470" s="1">
        <v>48213</v>
      </c>
    </row>
    <row r="471" spans="1:5" ht="30" customHeight="1" x14ac:dyDescent="0.4">
      <c r="A471" s="3">
        <v>468</v>
      </c>
      <c r="B471" s="2" t="s">
        <v>1525</v>
      </c>
      <c r="C471" s="2" t="str">
        <f>"709-2331"</f>
        <v>709-2331</v>
      </c>
      <c r="D471" s="2" t="str">
        <f>"加賀郡吉備中央町下加茂１１０３－９"</f>
        <v>加賀郡吉備中央町下加茂１１０３－９</v>
      </c>
      <c r="E471" s="1">
        <v>46387</v>
      </c>
    </row>
    <row r="472" spans="1:5" ht="30" customHeight="1" x14ac:dyDescent="0.4">
      <c r="A472" s="3">
        <v>469</v>
      </c>
      <c r="B472" s="2" t="s">
        <v>1524</v>
      </c>
      <c r="C472" s="2" t="str">
        <f>"716-1241"</f>
        <v>716-1241</v>
      </c>
      <c r="D472" s="2" t="str">
        <f>"加賀郡吉備中央町吉川７５２０－１０"</f>
        <v>加賀郡吉備中央町吉川７５２０－１０</v>
      </c>
      <c r="E472" s="1">
        <v>47118</v>
      </c>
    </row>
    <row r="473" spans="1:5" ht="30" customHeight="1" x14ac:dyDescent="0.4">
      <c r="A473" s="3">
        <v>470</v>
      </c>
      <c r="B473" s="2" t="s">
        <v>1522</v>
      </c>
      <c r="C473" s="2" t="str">
        <f>"716-1122"</f>
        <v>716-1122</v>
      </c>
      <c r="D473" s="2" t="s">
        <v>1523</v>
      </c>
      <c r="E473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D8BCC-114A-441B-9AE7-30F35EBBCE9C}">
  <dimension ref="A1:E124"/>
  <sheetViews>
    <sheetView workbookViewId="0">
      <selection activeCell="E3" sqref="E3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1691</v>
      </c>
      <c r="B1" s="4"/>
      <c r="C1" s="4"/>
      <c r="D1" s="4"/>
      <c r="E1" s="4"/>
    </row>
    <row r="2" spans="1:5" ht="30" customHeight="1" x14ac:dyDescent="0.4">
      <c r="E2" s="5">
        <v>46082</v>
      </c>
    </row>
    <row r="3" spans="1:5" ht="30" customHeight="1" x14ac:dyDescent="0.4">
      <c r="A3" s="3" t="s">
        <v>1688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1582</v>
      </c>
      <c r="C4" s="2" t="str">
        <f>"710-0016"</f>
        <v>710-0016</v>
      </c>
      <c r="D4" s="2" t="str">
        <f>"倉敷市中庄２３５２－１"</f>
        <v>倉敷市中庄２３５２－１</v>
      </c>
      <c r="E4" s="1">
        <v>47848</v>
      </c>
    </row>
    <row r="5" spans="1:5" ht="30" customHeight="1" x14ac:dyDescent="0.4">
      <c r="A5" s="3">
        <v>2</v>
      </c>
      <c r="B5" s="2" t="s">
        <v>1542</v>
      </c>
      <c r="C5" s="2" t="str">
        <f>"713-8102"</f>
        <v>713-8102</v>
      </c>
      <c r="D5" s="2" t="str">
        <f>"倉敷市玉島７５０－１"</f>
        <v>倉敷市玉島７５０－１</v>
      </c>
      <c r="E5" s="1">
        <v>46387</v>
      </c>
    </row>
    <row r="6" spans="1:5" ht="30" customHeight="1" x14ac:dyDescent="0.4">
      <c r="A6" s="3">
        <v>3</v>
      </c>
      <c r="B6" s="2" t="s">
        <v>1575</v>
      </c>
      <c r="C6" s="2" t="str">
        <f>"710-0842"</f>
        <v>710-0842</v>
      </c>
      <c r="D6" s="2" t="str">
        <f>"倉敷市吉岡２８８－４レピュート吉岡１０１"</f>
        <v>倉敷市吉岡２８８－４レピュート吉岡１０１</v>
      </c>
      <c r="E6" s="1">
        <v>47483</v>
      </c>
    </row>
    <row r="7" spans="1:5" ht="30" customHeight="1" x14ac:dyDescent="0.4">
      <c r="A7" s="3">
        <v>4</v>
      </c>
      <c r="B7" s="2" t="s">
        <v>1576</v>
      </c>
      <c r="C7" s="2" t="str">
        <f>"710-0824"</f>
        <v>710-0824</v>
      </c>
      <c r="D7" s="2" t="str">
        <f>"倉敷市白楽町２０５－４えとあシティＤ棟　１０１号室"</f>
        <v>倉敷市白楽町２０５－４えとあシティＤ棟　１０１号室</v>
      </c>
      <c r="E7" s="1">
        <v>47483</v>
      </c>
    </row>
    <row r="8" spans="1:5" ht="30" customHeight="1" x14ac:dyDescent="0.4">
      <c r="A8" s="3">
        <v>5</v>
      </c>
      <c r="B8" s="2" t="s">
        <v>1583</v>
      </c>
      <c r="C8" s="2" t="str">
        <f>"710-0811"</f>
        <v>710-0811</v>
      </c>
      <c r="D8" s="2" t="str">
        <f>"倉敷市川入７９５－５　グリーンビレッジＡ棟１０１号"</f>
        <v>倉敷市川入７９５－５　グリーンビレッジＡ棟１０１号</v>
      </c>
      <c r="E8" s="1">
        <v>47848</v>
      </c>
    </row>
    <row r="9" spans="1:5" ht="30" customHeight="1" x14ac:dyDescent="0.4">
      <c r="A9" s="3">
        <v>6</v>
      </c>
      <c r="B9" s="2" t="s">
        <v>1543</v>
      </c>
      <c r="C9" s="2" t="str">
        <f>"710-1313"</f>
        <v>710-1313</v>
      </c>
      <c r="D9" s="2" t="s">
        <v>270</v>
      </c>
      <c r="E9" s="1">
        <v>46387</v>
      </c>
    </row>
    <row r="10" spans="1:5" ht="30" customHeight="1" x14ac:dyDescent="0.4">
      <c r="A10" s="3">
        <v>7</v>
      </c>
      <c r="B10" s="2" t="s">
        <v>1569</v>
      </c>
      <c r="C10" s="2" t="str">
        <f>"711-0906"</f>
        <v>711-0906</v>
      </c>
      <c r="D10" s="2" t="str">
        <f>"倉敷市児島下の町5-2-17"</f>
        <v>倉敷市児島下の町5-2-17</v>
      </c>
      <c r="E10" s="1">
        <v>47118</v>
      </c>
    </row>
    <row r="11" spans="1:5" ht="30" customHeight="1" x14ac:dyDescent="0.4">
      <c r="A11" s="3">
        <v>8</v>
      </c>
      <c r="B11" s="2" t="s">
        <v>1536</v>
      </c>
      <c r="C11" s="2" t="str">
        <f>"711-0906"</f>
        <v>711-0906</v>
      </c>
      <c r="D11" s="2" t="str">
        <f>"倉敷市児島下の町５－２－１７"</f>
        <v>倉敷市児島下の町５－２－１７</v>
      </c>
      <c r="E11" s="1">
        <v>46387</v>
      </c>
    </row>
    <row r="12" spans="1:5" ht="30" customHeight="1" x14ac:dyDescent="0.4">
      <c r="A12" s="3">
        <v>9</v>
      </c>
      <c r="B12" s="2" t="s">
        <v>1592</v>
      </c>
      <c r="C12" s="2" t="str">
        <f>"711-0906"</f>
        <v>711-0906</v>
      </c>
      <c r="D12" s="2" t="str">
        <f>"倉敷市児島下の町３丁目８－５４フォーレス２１　１０１号室"</f>
        <v>倉敷市児島下の町３丁目８－５４フォーレス２１　１０１号室</v>
      </c>
      <c r="E12" s="1">
        <v>47483</v>
      </c>
    </row>
    <row r="13" spans="1:5" ht="30" customHeight="1" x14ac:dyDescent="0.4">
      <c r="A13" s="3">
        <v>10</v>
      </c>
      <c r="B13" s="2" t="s">
        <v>1539</v>
      </c>
      <c r="C13" s="2" t="str">
        <f>"712-8001"</f>
        <v>712-8001</v>
      </c>
      <c r="D13" s="2" t="str">
        <f>"倉敷市連島町西之浦３５２－１"</f>
        <v>倉敷市連島町西之浦３５２－１</v>
      </c>
      <c r="E13" s="1">
        <v>46387</v>
      </c>
    </row>
    <row r="14" spans="1:5" ht="30" customHeight="1" x14ac:dyDescent="0.4">
      <c r="A14" s="3">
        <v>11</v>
      </c>
      <c r="B14" s="2" t="s">
        <v>1589</v>
      </c>
      <c r="C14" s="2" t="str">
        <f>"710-0002"</f>
        <v>710-0002</v>
      </c>
      <c r="D14" s="2" t="str">
        <f>"倉敷市生坂４９２－６"</f>
        <v>倉敷市生坂４９２－６</v>
      </c>
      <c r="E14" s="1">
        <v>47848</v>
      </c>
    </row>
    <row r="15" spans="1:5" ht="30" customHeight="1" x14ac:dyDescent="0.4">
      <c r="A15" s="3">
        <v>12</v>
      </c>
      <c r="B15" s="2" t="s">
        <v>1590</v>
      </c>
      <c r="C15" s="2" t="str">
        <f>"710-0834"</f>
        <v>710-0834</v>
      </c>
      <c r="D15" s="2" t="str">
        <f>"倉敷市笹沖５４７－１"</f>
        <v>倉敷市笹沖５４７－１</v>
      </c>
      <c r="E15" s="1">
        <v>48213</v>
      </c>
    </row>
    <row r="16" spans="1:5" ht="30" customHeight="1" x14ac:dyDescent="0.4">
      <c r="A16" s="3">
        <v>13</v>
      </c>
      <c r="B16" s="2" t="s">
        <v>1588</v>
      </c>
      <c r="C16" s="2" t="str">
        <f>"713-8115"</f>
        <v>713-8115</v>
      </c>
      <c r="D16" s="2" t="str">
        <f>"倉敷市玉島道口97-1"</f>
        <v>倉敷市玉島道口97-1</v>
      </c>
      <c r="E16" s="1">
        <v>46387</v>
      </c>
    </row>
    <row r="17" spans="1:5" ht="30" customHeight="1" x14ac:dyDescent="0.4">
      <c r="A17" s="3">
        <v>14</v>
      </c>
      <c r="B17" s="2" t="s">
        <v>1591</v>
      </c>
      <c r="C17" s="2" t="str">
        <f>"713-8103"</f>
        <v>713-8103</v>
      </c>
      <c r="D17" s="2" t="str">
        <f>"倉敷市玉島乙島7190-5"</f>
        <v>倉敷市玉島乙島7190-5</v>
      </c>
      <c r="E17" s="1">
        <v>47118</v>
      </c>
    </row>
    <row r="18" spans="1:5" ht="30" customHeight="1" x14ac:dyDescent="0.4">
      <c r="A18" s="3">
        <v>15</v>
      </c>
      <c r="B18" s="2" t="s">
        <v>1528</v>
      </c>
      <c r="C18" s="2" t="str">
        <f>"710-0024"</f>
        <v>710-0024</v>
      </c>
      <c r="D18" s="2" t="str">
        <f>"倉敷市亀山７７５－１"</f>
        <v>倉敷市亀山７７５－１</v>
      </c>
      <c r="E18" s="1">
        <v>46387</v>
      </c>
    </row>
    <row r="19" spans="1:5" ht="30" customHeight="1" x14ac:dyDescent="0.4">
      <c r="A19" s="3">
        <v>16</v>
      </c>
      <c r="B19" s="2" t="s">
        <v>1561</v>
      </c>
      <c r="C19" s="2" t="str">
        <f>"710-0815"</f>
        <v>710-0815</v>
      </c>
      <c r="D19" s="2" t="s">
        <v>1562</v>
      </c>
      <c r="E19" s="1">
        <v>48213</v>
      </c>
    </row>
    <row r="20" spans="1:5" ht="30" customHeight="1" x14ac:dyDescent="0.4">
      <c r="A20" s="3">
        <v>17</v>
      </c>
      <c r="B20" s="2" t="s">
        <v>1532</v>
      </c>
      <c r="C20" s="2" t="str">
        <f>"710-0803"</f>
        <v>710-0803</v>
      </c>
      <c r="D20" s="2" t="str">
        <f>"倉敷市中島７７０－１"</f>
        <v>倉敷市中島７７０－１</v>
      </c>
      <c r="E20" s="1">
        <v>46387</v>
      </c>
    </row>
    <row r="21" spans="1:5" ht="30" customHeight="1" x14ac:dyDescent="0.4">
      <c r="A21" s="3">
        <v>18</v>
      </c>
      <c r="B21" s="2" t="s">
        <v>1537</v>
      </c>
      <c r="C21" s="2" t="str">
        <f>"710-0051"</f>
        <v>710-0051</v>
      </c>
      <c r="D21" s="2" t="str">
        <f>"倉敷市幸町２－３０"</f>
        <v>倉敷市幸町２－３０</v>
      </c>
      <c r="E21" s="1">
        <v>46387</v>
      </c>
    </row>
    <row r="22" spans="1:5" ht="30" customHeight="1" x14ac:dyDescent="0.4">
      <c r="A22" s="3">
        <v>19</v>
      </c>
      <c r="B22" s="2" t="s">
        <v>1558</v>
      </c>
      <c r="C22" s="2" t="str">
        <f>"710-0016"</f>
        <v>710-0016</v>
      </c>
      <c r="D22" s="2" t="str">
        <f>"倉敷市中庄３５４２－１"</f>
        <v>倉敷市中庄３５４２－１</v>
      </c>
      <c r="E22" s="1">
        <v>47483</v>
      </c>
    </row>
    <row r="23" spans="1:5" ht="30" customHeight="1" x14ac:dyDescent="0.4">
      <c r="A23" s="3">
        <v>20</v>
      </c>
      <c r="B23" s="2" t="s">
        <v>1529</v>
      </c>
      <c r="C23" s="2" t="str">
        <f>"710-8535"</f>
        <v>710-8535</v>
      </c>
      <c r="D23" s="2" t="str">
        <f>"倉敷市鶴形１－９－７"</f>
        <v>倉敷市鶴形１－９－７</v>
      </c>
      <c r="E23" s="1">
        <v>46387</v>
      </c>
    </row>
    <row r="24" spans="1:5" ht="30" customHeight="1" x14ac:dyDescent="0.4">
      <c r="A24" s="3">
        <v>21</v>
      </c>
      <c r="B24" s="2" t="s">
        <v>1526</v>
      </c>
      <c r="C24" s="2" t="str">
        <f>"710-0036"</f>
        <v>710-0036</v>
      </c>
      <c r="D24" s="2" t="str">
        <f>"倉敷市粒浦80-1"</f>
        <v>倉敷市粒浦80-1</v>
      </c>
      <c r="E24" s="1">
        <v>46387</v>
      </c>
    </row>
    <row r="25" spans="1:5" ht="30" customHeight="1" x14ac:dyDescent="0.4">
      <c r="A25" s="3">
        <v>22</v>
      </c>
      <c r="B25" s="2" t="s">
        <v>1587</v>
      </c>
      <c r="C25" s="2" t="str">
        <f>"710-0824"</f>
        <v>710-0824</v>
      </c>
      <c r="D25" s="2" t="str">
        <f>"倉敷市白楽町１４０－１ブランシャトー３０６号室"</f>
        <v>倉敷市白楽町１４０－１ブランシャトー３０６号室</v>
      </c>
      <c r="E25" s="1">
        <v>48213</v>
      </c>
    </row>
    <row r="26" spans="1:5" ht="30" customHeight="1" x14ac:dyDescent="0.4">
      <c r="A26" s="3">
        <v>23</v>
      </c>
      <c r="B26" s="2" t="s">
        <v>1552</v>
      </c>
      <c r="C26" s="2" t="str">
        <f>"711-0913"</f>
        <v>711-0913</v>
      </c>
      <c r="D26" s="2" t="s">
        <v>1553</v>
      </c>
      <c r="E26" s="1">
        <v>46752</v>
      </c>
    </row>
    <row r="27" spans="1:5" ht="30" customHeight="1" x14ac:dyDescent="0.4">
      <c r="A27" s="3">
        <v>24</v>
      </c>
      <c r="B27" s="2" t="s">
        <v>1560</v>
      </c>
      <c r="C27" s="2" t="str">
        <f>"710-0051"</f>
        <v>710-0051</v>
      </c>
      <c r="D27" s="2" t="str">
        <f>"倉敷市幸町７－７－５"</f>
        <v>倉敷市幸町７－７－５</v>
      </c>
      <c r="E27" s="1">
        <v>48213</v>
      </c>
    </row>
    <row r="28" spans="1:5" ht="30" customHeight="1" x14ac:dyDescent="0.4">
      <c r="A28" s="3">
        <v>25</v>
      </c>
      <c r="B28" s="2" t="s">
        <v>1535</v>
      </c>
      <c r="C28" s="2" t="str">
        <f>"701-0112"</f>
        <v>701-0112</v>
      </c>
      <c r="D28" s="2" t="str">
        <f>"倉敷市下庄７００－１"</f>
        <v>倉敷市下庄７００－１</v>
      </c>
      <c r="E28" s="1">
        <v>46387</v>
      </c>
    </row>
    <row r="29" spans="1:5" ht="30" customHeight="1" x14ac:dyDescent="0.4">
      <c r="A29" s="3">
        <v>26</v>
      </c>
      <c r="B29" s="2" t="s">
        <v>1540</v>
      </c>
      <c r="C29" s="2" t="str">
        <f>"710-1101"</f>
        <v>710-1101</v>
      </c>
      <c r="D29" s="2" t="str">
        <f>"倉敷市茶屋町２１０４－１"</f>
        <v>倉敷市茶屋町２１０４－１</v>
      </c>
      <c r="E29" s="1">
        <v>46387</v>
      </c>
    </row>
    <row r="30" spans="1:5" ht="30" customHeight="1" x14ac:dyDescent="0.4">
      <c r="A30" s="3">
        <v>27</v>
      </c>
      <c r="B30" s="2" t="s">
        <v>1567</v>
      </c>
      <c r="C30" s="2" t="str">
        <f>"710-0802"</f>
        <v>710-0802</v>
      </c>
      <c r="D30" s="2" t="str">
        <f>"倉敷市水江1510-1"</f>
        <v>倉敷市水江1510-1</v>
      </c>
      <c r="E30" s="1">
        <v>46752</v>
      </c>
    </row>
    <row r="31" spans="1:5" ht="30" customHeight="1" x14ac:dyDescent="0.4">
      <c r="A31" s="3">
        <v>28</v>
      </c>
      <c r="B31" s="2" t="s">
        <v>1554</v>
      </c>
      <c r="C31" s="2" t="str">
        <f>"710-1304"</f>
        <v>710-1304</v>
      </c>
      <c r="D31" s="2" t="s">
        <v>1555</v>
      </c>
      <c r="E31" s="1">
        <v>46752</v>
      </c>
    </row>
    <row r="32" spans="1:5" ht="30" customHeight="1" x14ac:dyDescent="0.4">
      <c r="A32" s="3">
        <v>29</v>
      </c>
      <c r="B32" s="2" t="s">
        <v>1533</v>
      </c>
      <c r="C32" s="2" t="str">
        <f>"713-8123"</f>
        <v>713-8123</v>
      </c>
      <c r="D32" s="2" t="str">
        <f>"倉敷市玉島柏島５２０９－１"</f>
        <v>倉敷市玉島柏島５２０９－１</v>
      </c>
      <c r="E32" s="1">
        <v>46387</v>
      </c>
    </row>
    <row r="33" spans="1:5" ht="30" customHeight="1" x14ac:dyDescent="0.4">
      <c r="A33" s="3">
        <v>30</v>
      </c>
      <c r="B33" s="2" t="s">
        <v>1584</v>
      </c>
      <c r="C33" s="2" t="str">
        <f>"710-0016"</f>
        <v>710-0016</v>
      </c>
      <c r="D33" s="2" t="str">
        <f>"倉敷市中庄３５９４－８"</f>
        <v>倉敷市中庄３５９４－８</v>
      </c>
      <c r="E33" s="1">
        <v>47848</v>
      </c>
    </row>
    <row r="34" spans="1:5" ht="30" customHeight="1" x14ac:dyDescent="0.4">
      <c r="A34" s="3">
        <v>31</v>
      </c>
      <c r="B34" s="2" t="s">
        <v>1571</v>
      </c>
      <c r="C34" s="2" t="str">
        <f>"710-0057"</f>
        <v>710-0057</v>
      </c>
      <c r="D34" s="2" t="str">
        <f>"倉敷市昭和2-4-14　竹富ビル2階"</f>
        <v>倉敷市昭和2-4-14　竹富ビル2階</v>
      </c>
      <c r="E34" s="1">
        <v>47118</v>
      </c>
    </row>
    <row r="35" spans="1:5" ht="30" customHeight="1" x14ac:dyDescent="0.4">
      <c r="A35" s="3">
        <v>32</v>
      </c>
      <c r="B35" s="2" t="s">
        <v>1568</v>
      </c>
      <c r="C35" s="2" t="str">
        <f>"712-8006"</f>
        <v>712-8006</v>
      </c>
      <c r="D35" s="2" t="str">
        <f>"倉敷市連島町鶴新田247-9 ロイヤルマンション311"</f>
        <v>倉敷市連島町鶴新田247-9 ロイヤルマンション311</v>
      </c>
      <c r="E35" s="1">
        <v>46752</v>
      </c>
    </row>
    <row r="36" spans="1:5" ht="30" customHeight="1" x14ac:dyDescent="0.4">
      <c r="A36" s="3">
        <v>33</v>
      </c>
      <c r="B36" s="2" t="s">
        <v>1541</v>
      </c>
      <c r="C36" s="2" t="str">
        <f>"713-8103"</f>
        <v>713-8103</v>
      </c>
      <c r="D36" s="2" t="s">
        <v>99</v>
      </c>
      <c r="E36" s="1">
        <v>46387</v>
      </c>
    </row>
    <row r="37" spans="1:5" ht="30" customHeight="1" x14ac:dyDescent="0.4">
      <c r="A37" s="3">
        <v>34</v>
      </c>
      <c r="B37" s="2" t="s">
        <v>1548</v>
      </c>
      <c r="C37" s="2" t="str">
        <f>"701-0114"</f>
        <v>701-0114</v>
      </c>
      <c r="D37" s="2" t="s">
        <v>1549</v>
      </c>
      <c r="E37" s="1">
        <v>47483</v>
      </c>
    </row>
    <row r="38" spans="1:5" ht="30" customHeight="1" x14ac:dyDescent="0.4">
      <c r="A38" s="3">
        <v>35</v>
      </c>
      <c r="B38" s="2" t="s">
        <v>1574</v>
      </c>
      <c r="C38" s="2" t="str">
        <f>"710-0811"</f>
        <v>710-0811</v>
      </c>
      <c r="D38" s="2" t="str">
        <f>"倉敷市川入７９５－１５　川入事務所１階"</f>
        <v>倉敷市川入７９５－１５　川入事務所１階</v>
      </c>
      <c r="E38" s="1">
        <v>47483</v>
      </c>
    </row>
    <row r="39" spans="1:5" ht="30" customHeight="1" x14ac:dyDescent="0.4">
      <c r="A39" s="3">
        <v>36</v>
      </c>
      <c r="B39" s="2" t="s">
        <v>1563</v>
      </c>
      <c r="C39" s="2" t="str">
        <f>"710-0834"</f>
        <v>710-0834</v>
      </c>
      <c r="D39" s="2" t="s">
        <v>1564</v>
      </c>
      <c r="E39" s="1">
        <v>48213</v>
      </c>
    </row>
    <row r="40" spans="1:5" ht="30" customHeight="1" x14ac:dyDescent="0.4">
      <c r="A40" s="3">
        <v>37</v>
      </c>
      <c r="B40" s="2" t="s">
        <v>1556</v>
      </c>
      <c r="C40" s="2" t="str">
        <f>"710-0252"</f>
        <v>710-0252</v>
      </c>
      <c r="D40" s="2" t="s">
        <v>1557</v>
      </c>
      <c r="E40" s="1">
        <v>47483</v>
      </c>
    </row>
    <row r="41" spans="1:5" ht="30" customHeight="1" x14ac:dyDescent="0.4">
      <c r="A41" s="3">
        <v>38</v>
      </c>
      <c r="B41" s="2" t="s">
        <v>1534</v>
      </c>
      <c r="C41" s="2" t="str">
        <f>"710-0056"</f>
        <v>710-0056</v>
      </c>
      <c r="D41" s="2" t="str">
        <f>"倉敷市鶴形１－３－２８"</f>
        <v>倉敷市鶴形１－３－２８</v>
      </c>
      <c r="E41" s="1">
        <v>46387</v>
      </c>
    </row>
    <row r="42" spans="1:5" ht="30" customHeight="1" x14ac:dyDescent="0.4">
      <c r="A42" s="3">
        <v>39</v>
      </c>
      <c r="B42" s="2" t="s">
        <v>1544</v>
      </c>
      <c r="C42" s="2" t="str">
        <f>"713-8115"</f>
        <v>713-8115</v>
      </c>
      <c r="D42" s="2" t="str">
        <f>"倉敷市玉島道口７８－１"</f>
        <v>倉敷市玉島道口７８－１</v>
      </c>
      <c r="E42" s="1">
        <v>46387</v>
      </c>
    </row>
    <row r="43" spans="1:5" ht="30" customHeight="1" x14ac:dyDescent="0.4">
      <c r="A43" s="3">
        <v>40</v>
      </c>
      <c r="B43" s="2" t="s">
        <v>1559</v>
      </c>
      <c r="C43" s="2" t="str">
        <f>"710-0142"</f>
        <v>710-0142</v>
      </c>
      <c r="D43" s="2" t="str">
        <f>"倉敷市林８０８－３"</f>
        <v>倉敷市林８０８－３</v>
      </c>
      <c r="E43" s="1">
        <v>47848</v>
      </c>
    </row>
    <row r="44" spans="1:5" ht="30" customHeight="1" x14ac:dyDescent="0.4">
      <c r="A44" s="3">
        <v>41</v>
      </c>
      <c r="B44" s="2" t="s">
        <v>1545</v>
      </c>
      <c r="C44" s="2" t="str">
        <f>"710-0844"</f>
        <v>710-0844</v>
      </c>
      <c r="D44" s="2" t="str">
        <f>"倉敷市福井４６－５"</f>
        <v>倉敷市福井４６－５</v>
      </c>
      <c r="E44" s="1">
        <v>48213</v>
      </c>
    </row>
    <row r="45" spans="1:5" ht="30" customHeight="1" x14ac:dyDescent="0.4">
      <c r="A45" s="3">
        <v>42</v>
      </c>
      <c r="B45" s="2" t="s">
        <v>1565</v>
      </c>
      <c r="C45" s="2" t="str">
        <f>"710-1101"</f>
        <v>710-1101</v>
      </c>
      <c r="D45" s="2" t="str">
        <f>"倉敷市茶屋町303-11"</f>
        <v>倉敷市茶屋町303-11</v>
      </c>
      <c r="E45" s="1">
        <v>47483</v>
      </c>
    </row>
    <row r="46" spans="1:5" ht="30" customHeight="1" x14ac:dyDescent="0.4">
      <c r="A46" s="3">
        <v>43</v>
      </c>
      <c r="B46" s="2" t="s">
        <v>1581</v>
      </c>
      <c r="C46" s="2" t="str">
        <f>"701-0111"</f>
        <v>701-0111</v>
      </c>
      <c r="D46" s="2" t="str">
        <f>"倉敷市上東５２６－１３"</f>
        <v>倉敷市上東５２６－１３</v>
      </c>
      <c r="E46" s="1">
        <v>47848</v>
      </c>
    </row>
    <row r="47" spans="1:5" ht="30" customHeight="1" x14ac:dyDescent="0.4">
      <c r="A47" s="3">
        <v>44</v>
      </c>
      <c r="B47" s="2" t="s">
        <v>1579</v>
      </c>
      <c r="C47" s="2" t="str">
        <f>"710-0814"</f>
        <v>710-0814</v>
      </c>
      <c r="D47" s="2" t="s">
        <v>1580</v>
      </c>
      <c r="E47" s="1">
        <v>47483</v>
      </c>
    </row>
    <row r="48" spans="1:5" ht="30" customHeight="1" x14ac:dyDescent="0.4">
      <c r="A48" s="3">
        <v>45</v>
      </c>
      <c r="B48" s="2" t="s">
        <v>1546</v>
      </c>
      <c r="C48" s="2" t="str">
        <f>"710-0261"</f>
        <v>710-0261</v>
      </c>
      <c r="D48" s="2" t="s">
        <v>1547</v>
      </c>
      <c r="E48" s="1">
        <v>46387</v>
      </c>
    </row>
    <row r="49" spans="1:5" ht="30" customHeight="1" x14ac:dyDescent="0.4">
      <c r="A49" s="3">
        <v>46</v>
      </c>
      <c r="B49" s="2" t="s">
        <v>1573</v>
      </c>
      <c r="C49" s="2" t="str">
        <f>"710-1301"</f>
        <v>710-1301</v>
      </c>
      <c r="D49" s="2" t="str">
        <f>"倉敷市真備町箭田1179-6"</f>
        <v>倉敷市真備町箭田1179-6</v>
      </c>
      <c r="E49" s="1">
        <v>47118</v>
      </c>
    </row>
    <row r="50" spans="1:5" ht="30" customHeight="1" x14ac:dyDescent="0.4">
      <c r="A50" s="3">
        <v>47</v>
      </c>
      <c r="B50" s="2" t="s">
        <v>1527</v>
      </c>
      <c r="C50" s="2" t="str">
        <f>"710-0826"</f>
        <v>710-0826</v>
      </c>
      <c r="D50" s="2" t="str">
        <f>"倉敷市老松町４丁目４－７"</f>
        <v>倉敷市老松町４丁目４－７</v>
      </c>
      <c r="E50" s="1">
        <v>46387</v>
      </c>
    </row>
    <row r="51" spans="1:5" ht="30" customHeight="1" x14ac:dyDescent="0.4">
      <c r="A51" s="3">
        <v>48</v>
      </c>
      <c r="B51" s="2" t="s">
        <v>1550</v>
      </c>
      <c r="C51" s="2" t="str">
        <f>"710-0132"</f>
        <v>710-0132</v>
      </c>
      <c r="D51" s="2" t="str">
        <f>"倉敷市藤戸町天城６２５－５グリーンヒルズＡ１－２"</f>
        <v>倉敷市藤戸町天城６２５－５グリーンヒルズＡ１－２</v>
      </c>
      <c r="E51" s="1">
        <v>47118</v>
      </c>
    </row>
    <row r="52" spans="1:5" ht="30" customHeight="1" x14ac:dyDescent="0.4">
      <c r="A52" s="3">
        <v>49</v>
      </c>
      <c r="B52" s="2" t="s">
        <v>1530</v>
      </c>
      <c r="C52" s="2" t="str">
        <f>"712-8061"</f>
        <v>712-8061</v>
      </c>
      <c r="D52" s="2" t="s">
        <v>95</v>
      </c>
      <c r="E52" s="1">
        <v>46387</v>
      </c>
    </row>
    <row r="53" spans="1:5" ht="30" customHeight="1" x14ac:dyDescent="0.4">
      <c r="A53" s="3">
        <v>50</v>
      </c>
      <c r="B53" s="2" t="s">
        <v>1531</v>
      </c>
      <c r="C53" s="2" t="str">
        <f>"712-8025"</f>
        <v>712-8025</v>
      </c>
      <c r="D53" s="2" t="str">
        <f>"倉敷市水島南春日町１３－１"</f>
        <v>倉敷市水島南春日町１３－１</v>
      </c>
      <c r="E53" s="1">
        <v>46387</v>
      </c>
    </row>
    <row r="54" spans="1:5" ht="30" customHeight="1" x14ac:dyDescent="0.4">
      <c r="A54" s="3">
        <v>51</v>
      </c>
      <c r="B54" s="2" t="s">
        <v>1551</v>
      </c>
      <c r="C54" s="2" t="str">
        <f>"712-8032"</f>
        <v>712-8032</v>
      </c>
      <c r="D54" s="2" t="str">
        <f>"倉敷市北畝５丁目５－１１"</f>
        <v>倉敷市北畝５丁目５－１１</v>
      </c>
      <c r="E54" s="1">
        <v>46752</v>
      </c>
    </row>
    <row r="55" spans="1:5" ht="30" customHeight="1" x14ac:dyDescent="0.4">
      <c r="A55" s="3">
        <v>52</v>
      </c>
      <c r="B55" s="2" t="s">
        <v>1566</v>
      </c>
      <c r="C55" s="2" t="str">
        <f>"710-0014"</f>
        <v>710-0014</v>
      </c>
      <c r="D55" s="2" t="str">
        <f>"倉敷市黒崎564-5"</f>
        <v>倉敷市黒崎564-5</v>
      </c>
      <c r="E55" s="1">
        <v>46752</v>
      </c>
    </row>
    <row r="56" spans="1:5" ht="30" customHeight="1" x14ac:dyDescent="0.4">
      <c r="A56" s="3">
        <v>53</v>
      </c>
      <c r="B56" s="2" t="s">
        <v>1577</v>
      </c>
      <c r="C56" s="2" t="str">
        <f>"711-0906"</f>
        <v>711-0906</v>
      </c>
      <c r="D56" s="2" t="s">
        <v>1578</v>
      </c>
      <c r="E56" s="1">
        <v>47848</v>
      </c>
    </row>
    <row r="57" spans="1:5" ht="30" customHeight="1" x14ac:dyDescent="0.4">
      <c r="A57" s="3">
        <v>54</v>
      </c>
      <c r="B57" s="2" t="s">
        <v>1572</v>
      </c>
      <c r="C57" s="2" t="str">
        <f>"710-1101"</f>
        <v>710-1101</v>
      </c>
      <c r="D57" s="2" t="str">
        <f>"倉敷市茶屋町1609-7"</f>
        <v>倉敷市茶屋町1609-7</v>
      </c>
      <c r="E57" s="1">
        <v>47118</v>
      </c>
    </row>
    <row r="58" spans="1:5" ht="30" customHeight="1" x14ac:dyDescent="0.4">
      <c r="A58" s="3">
        <v>55</v>
      </c>
      <c r="B58" s="2" t="s">
        <v>1570</v>
      </c>
      <c r="C58" s="2" t="str">
        <f>"710-0061"</f>
        <v>710-0061</v>
      </c>
      <c r="D58" s="2" t="str">
        <f>"倉敷市浜ノ茶屋233-5サンクレール田之上103号室"</f>
        <v>倉敷市浜ノ茶屋233-5サンクレール田之上103号室</v>
      </c>
      <c r="E58" s="1">
        <v>47118</v>
      </c>
    </row>
    <row r="59" spans="1:5" ht="30" customHeight="1" x14ac:dyDescent="0.4">
      <c r="A59" s="3">
        <v>56</v>
      </c>
      <c r="B59" s="2" t="s">
        <v>1585</v>
      </c>
      <c r="C59" s="2" t="str">
        <f>"710-0833"</f>
        <v>710-0833</v>
      </c>
      <c r="D59" s="2" t="s">
        <v>1586</v>
      </c>
      <c r="E59" s="1">
        <v>48213</v>
      </c>
    </row>
    <row r="60" spans="1:5" ht="30" customHeight="1" x14ac:dyDescent="0.4">
      <c r="A60" s="3">
        <v>57</v>
      </c>
      <c r="B60" s="2" t="s">
        <v>1538</v>
      </c>
      <c r="C60" s="2" t="str">
        <f>"712-8044"</f>
        <v>712-8044</v>
      </c>
      <c r="D60" s="2" t="str">
        <f>"倉敷市東塚５－４－１６"</f>
        <v>倉敷市東塚５－４－１６</v>
      </c>
      <c r="E60" s="1">
        <v>46387</v>
      </c>
    </row>
    <row r="61" spans="1:5" ht="30" customHeight="1" x14ac:dyDescent="0.4">
      <c r="A61" s="3">
        <v>58</v>
      </c>
      <c r="B61" s="2" t="s">
        <v>1599</v>
      </c>
      <c r="C61" s="2" t="str">
        <f>"708-1204"</f>
        <v>708-1204</v>
      </c>
      <c r="D61" s="2" t="s">
        <v>387</v>
      </c>
      <c r="E61" s="1">
        <v>46387</v>
      </c>
    </row>
    <row r="62" spans="1:5" ht="30" customHeight="1" x14ac:dyDescent="0.4">
      <c r="A62" s="3">
        <v>59</v>
      </c>
      <c r="B62" s="2" t="s">
        <v>1672</v>
      </c>
      <c r="C62" s="2" t="str">
        <f>"709-3931"</f>
        <v>709-3931</v>
      </c>
      <c r="D62" s="2" t="s">
        <v>392</v>
      </c>
      <c r="E62" s="1">
        <v>46387</v>
      </c>
    </row>
    <row r="63" spans="1:5" ht="30" customHeight="1" x14ac:dyDescent="0.4">
      <c r="A63" s="3">
        <v>60</v>
      </c>
      <c r="B63" s="2" t="s">
        <v>1596</v>
      </c>
      <c r="C63" s="2" t="str">
        <f>"708-0841"</f>
        <v>708-0841</v>
      </c>
      <c r="D63" s="2" t="str">
        <f>"津山市川崎５５４－５"</f>
        <v>津山市川崎５５４－５</v>
      </c>
      <c r="E63" s="1">
        <v>46387</v>
      </c>
    </row>
    <row r="64" spans="1:5" ht="30" customHeight="1" x14ac:dyDescent="0.4">
      <c r="A64" s="3">
        <v>61</v>
      </c>
      <c r="B64" s="2" t="s">
        <v>1600</v>
      </c>
      <c r="C64" s="2" t="str">
        <f>"708-0854"</f>
        <v>708-0854</v>
      </c>
      <c r="D64" s="2" t="str">
        <f>"津山市中原３８５－１"</f>
        <v>津山市中原３８５－１</v>
      </c>
      <c r="E64" s="1">
        <v>46387</v>
      </c>
    </row>
    <row r="65" spans="1:5" ht="30" customHeight="1" x14ac:dyDescent="0.4">
      <c r="A65" s="3">
        <v>62</v>
      </c>
      <c r="B65" s="2" t="s">
        <v>1602</v>
      </c>
      <c r="C65" s="2" t="str">
        <f>"708-0871"</f>
        <v>708-0871</v>
      </c>
      <c r="D65" s="2" t="s">
        <v>373</v>
      </c>
      <c r="E65" s="1">
        <v>46387</v>
      </c>
    </row>
    <row r="66" spans="1:5" ht="30" customHeight="1" x14ac:dyDescent="0.4">
      <c r="A66" s="3">
        <v>63</v>
      </c>
      <c r="B66" s="2" t="s">
        <v>1597</v>
      </c>
      <c r="C66" s="2" t="str">
        <f>"708-0061"</f>
        <v>708-0061</v>
      </c>
      <c r="D66" s="2" t="s">
        <v>1598</v>
      </c>
      <c r="E66" s="1">
        <v>46387</v>
      </c>
    </row>
    <row r="67" spans="1:5" ht="30" customHeight="1" x14ac:dyDescent="0.4">
      <c r="A67" s="3">
        <v>64</v>
      </c>
      <c r="B67" s="2" t="s">
        <v>1601</v>
      </c>
      <c r="C67" s="2" t="str">
        <f>"708-0052"</f>
        <v>708-0052</v>
      </c>
      <c r="D67" s="2" t="str">
        <f>"津山市田町１１９－２０番地"</f>
        <v>津山市田町１１９－２０番地</v>
      </c>
      <c r="E67" s="1">
        <v>46387</v>
      </c>
    </row>
    <row r="68" spans="1:5" ht="30" customHeight="1" x14ac:dyDescent="0.4">
      <c r="A68" s="3">
        <v>65</v>
      </c>
      <c r="B68" s="2" t="s">
        <v>1604</v>
      </c>
      <c r="C68" s="2" t="str">
        <f>"708-0015"</f>
        <v>708-0015</v>
      </c>
      <c r="D68" s="2" t="str">
        <f>"津山市神戸262-1"</f>
        <v>津山市神戸262-1</v>
      </c>
      <c r="E68" s="1">
        <v>46387</v>
      </c>
    </row>
    <row r="69" spans="1:5" ht="30" customHeight="1" x14ac:dyDescent="0.4">
      <c r="A69" s="3">
        <v>66</v>
      </c>
      <c r="B69" s="2" t="s">
        <v>1603</v>
      </c>
      <c r="C69" s="2" t="str">
        <f>"708-1126"</f>
        <v>708-1126</v>
      </c>
      <c r="D69" s="2" t="str">
        <f>"津山市押入７９１－１"</f>
        <v>津山市押入７９１－１</v>
      </c>
      <c r="E69" s="1">
        <v>46752</v>
      </c>
    </row>
    <row r="70" spans="1:5" ht="30" customHeight="1" x14ac:dyDescent="0.4">
      <c r="A70" s="3">
        <v>67</v>
      </c>
      <c r="B70" s="2" t="s">
        <v>1593</v>
      </c>
      <c r="C70" s="2" t="str">
        <f>"708-0872"</f>
        <v>708-0872</v>
      </c>
      <c r="D70" s="2" t="s">
        <v>1594</v>
      </c>
      <c r="E70" s="1">
        <v>46387</v>
      </c>
    </row>
    <row r="71" spans="1:5" ht="30" customHeight="1" x14ac:dyDescent="0.4">
      <c r="A71" s="3">
        <v>68</v>
      </c>
      <c r="B71" s="2" t="s">
        <v>1605</v>
      </c>
      <c r="C71" s="2" t="str">
        <f>"708-0824"</f>
        <v>708-0824</v>
      </c>
      <c r="D71" s="2" t="str">
        <f>"津山市沼８５６－３"</f>
        <v>津山市沼８５６－３</v>
      </c>
      <c r="E71" s="1">
        <v>47483</v>
      </c>
    </row>
    <row r="72" spans="1:5" ht="30" customHeight="1" x14ac:dyDescent="0.4">
      <c r="A72" s="3">
        <v>69</v>
      </c>
      <c r="B72" s="2" t="s">
        <v>1595</v>
      </c>
      <c r="C72" s="2" t="str">
        <f>"708-0883"</f>
        <v>708-0883</v>
      </c>
      <c r="D72" s="2" t="s">
        <v>337</v>
      </c>
      <c r="E72" s="1">
        <v>46387</v>
      </c>
    </row>
    <row r="73" spans="1:5" ht="30" customHeight="1" x14ac:dyDescent="0.4">
      <c r="A73" s="3">
        <v>70</v>
      </c>
      <c r="B73" s="2" t="s">
        <v>1607</v>
      </c>
      <c r="C73" s="2" t="str">
        <f>"706-0151"</f>
        <v>706-0151</v>
      </c>
      <c r="D73" s="2" t="str">
        <f>"玉野市長尾５５７－１"</f>
        <v>玉野市長尾５５７－１</v>
      </c>
      <c r="E73" s="1">
        <v>46387</v>
      </c>
    </row>
    <row r="74" spans="1:5" ht="30" customHeight="1" x14ac:dyDescent="0.4">
      <c r="A74" s="3">
        <v>71</v>
      </c>
      <c r="B74" s="2" t="s">
        <v>1606</v>
      </c>
      <c r="C74" s="2" t="str">
        <f>"706-0001"</f>
        <v>706-0001</v>
      </c>
      <c r="D74" s="2" t="s">
        <v>410</v>
      </c>
      <c r="E74" s="1">
        <v>46387</v>
      </c>
    </row>
    <row r="75" spans="1:5" ht="30" customHeight="1" x14ac:dyDescent="0.4">
      <c r="A75" s="3">
        <v>72</v>
      </c>
      <c r="B75" s="2" t="s">
        <v>1655</v>
      </c>
      <c r="C75" s="2" t="str">
        <f>"706-0134"</f>
        <v>706-0134</v>
      </c>
      <c r="D75" s="2" t="str">
        <f>"玉野市東高崎２４－８"</f>
        <v>玉野市東高崎２４－８</v>
      </c>
      <c r="E75" s="1">
        <v>46387</v>
      </c>
    </row>
    <row r="76" spans="1:5" ht="30" customHeight="1" x14ac:dyDescent="0.4">
      <c r="A76" s="3">
        <v>73</v>
      </c>
      <c r="B76" s="2" t="s">
        <v>1608</v>
      </c>
      <c r="C76" s="2" t="str">
        <f>"706-0151"</f>
        <v>706-0151</v>
      </c>
      <c r="D76" s="2" t="str">
        <f>"玉野市長尾７５９－１－１０５"</f>
        <v>玉野市長尾７５９－１－１０５</v>
      </c>
      <c r="E76" s="1">
        <v>46387</v>
      </c>
    </row>
    <row r="77" spans="1:5" ht="30" customHeight="1" x14ac:dyDescent="0.4">
      <c r="A77" s="3">
        <v>74</v>
      </c>
      <c r="B77" s="2" t="s">
        <v>1609</v>
      </c>
      <c r="C77" s="2" t="str">
        <f>"714-0081"</f>
        <v>714-0081</v>
      </c>
      <c r="D77" s="2" t="s">
        <v>1610</v>
      </c>
      <c r="E77" s="1">
        <v>46387</v>
      </c>
    </row>
    <row r="78" spans="1:5" ht="30" customHeight="1" x14ac:dyDescent="0.4">
      <c r="A78" s="3">
        <v>75</v>
      </c>
      <c r="B78" s="2" t="s">
        <v>1611</v>
      </c>
      <c r="C78" s="2" t="str">
        <f>"714-0043"</f>
        <v>714-0043</v>
      </c>
      <c r="D78" s="2" t="str">
        <f>"笠岡市横島１９４４－１"</f>
        <v>笠岡市横島１９４４－１</v>
      </c>
      <c r="E78" s="1">
        <v>46387</v>
      </c>
    </row>
    <row r="79" spans="1:5" ht="30" customHeight="1" x14ac:dyDescent="0.4">
      <c r="A79" s="3">
        <v>76</v>
      </c>
      <c r="B79" s="2" t="s">
        <v>1613</v>
      </c>
      <c r="C79" s="2" t="str">
        <f>"714-0001"</f>
        <v>714-0001</v>
      </c>
      <c r="D79" s="2" t="s">
        <v>1614</v>
      </c>
      <c r="E79" s="1">
        <v>47118</v>
      </c>
    </row>
    <row r="80" spans="1:5" ht="30" customHeight="1" x14ac:dyDescent="0.4">
      <c r="A80" s="3">
        <v>77</v>
      </c>
      <c r="B80" s="2" t="s">
        <v>1612</v>
      </c>
      <c r="C80" s="2" t="str">
        <f>"714-0012"</f>
        <v>714-0012</v>
      </c>
      <c r="D80" s="2" t="str">
        <f>"笠岡市小平井2039-2"</f>
        <v>笠岡市小平井2039-2</v>
      </c>
      <c r="E80" s="1">
        <v>47483</v>
      </c>
    </row>
    <row r="81" spans="1:5" ht="30" customHeight="1" x14ac:dyDescent="0.4">
      <c r="A81" s="3">
        <v>78</v>
      </c>
      <c r="B81" s="2" t="s">
        <v>1615</v>
      </c>
      <c r="C81" s="2" t="str">
        <f>"715-0019"</f>
        <v>715-0019</v>
      </c>
      <c r="D81" s="2" t="s">
        <v>1616</v>
      </c>
      <c r="E81" s="1">
        <v>46387</v>
      </c>
    </row>
    <row r="82" spans="1:5" ht="30" customHeight="1" x14ac:dyDescent="0.4">
      <c r="A82" s="3">
        <v>79</v>
      </c>
      <c r="B82" s="2" t="s">
        <v>1617</v>
      </c>
      <c r="C82" s="2" t="str">
        <f>"719-1155"</f>
        <v>719-1155</v>
      </c>
      <c r="D82" s="2" t="str">
        <f>"総社市小寺９９５－１"</f>
        <v>総社市小寺９９５－１</v>
      </c>
      <c r="E82" s="1">
        <v>46387</v>
      </c>
    </row>
    <row r="83" spans="1:5" ht="30" customHeight="1" x14ac:dyDescent="0.4">
      <c r="A83" s="3">
        <v>80</v>
      </c>
      <c r="B83" s="2" t="s">
        <v>1628</v>
      </c>
      <c r="C83" s="2" t="str">
        <f>"719-1133"</f>
        <v>719-1133</v>
      </c>
      <c r="D83" s="2" t="str">
        <f>"総社市中原５８０－６"</f>
        <v>総社市中原５８０－６</v>
      </c>
      <c r="E83" s="1">
        <v>47848</v>
      </c>
    </row>
    <row r="84" spans="1:5" ht="30" customHeight="1" x14ac:dyDescent="0.4">
      <c r="A84" s="3">
        <v>81</v>
      </c>
      <c r="B84" s="2" t="s">
        <v>1626</v>
      </c>
      <c r="C84" s="2" t="str">
        <f>"719-1316"</f>
        <v>719-1316</v>
      </c>
      <c r="D84" s="2" t="s">
        <v>1627</v>
      </c>
      <c r="E84" s="1">
        <v>47848</v>
      </c>
    </row>
    <row r="85" spans="1:5" ht="30" customHeight="1" x14ac:dyDescent="0.4">
      <c r="A85" s="3">
        <v>82</v>
      </c>
      <c r="B85" s="2" t="s">
        <v>1623</v>
      </c>
      <c r="C85" s="2" t="str">
        <f>"719-1175"</f>
        <v>719-1175</v>
      </c>
      <c r="D85" s="2" t="s">
        <v>1624</v>
      </c>
      <c r="E85" s="1">
        <v>47118</v>
      </c>
    </row>
    <row r="86" spans="1:5" ht="30" customHeight="1" x14ac:dyDescent="0.4">
      <c r="A86" s="3">
        <v>83</v>
      </c>
      <c r="B86" s="2" t="s">
        <v>1618</v>
      </c>
      <c r="C86" s="2" t="str">
        <f>"719-1134"</f>
        <v>719-1134</v>
      </c>
      <c r="D86" s="2" t="s">
        <v>511</v>
      </c>
      <c r="E86" s="1">
        <v>46387</v>
      </c>
    </row>
    <row r="87" spans="1:5" ht="30" customHeight="1" x14ac:dyDescent="0.4">
      <c r="A87" s="3">
        <v>84</v>
      </c>
      <c r="B87" s="2" t="s">
        <v>1620</v>
      </c>
      <c r="C87" s="2" t="str">
        <f>"719-1114"</f>
        <v>719-1114</v>
      </c>
      <c r="D87" s="2" t="s">
        <v>1621</v>
      </c>
      <c r="E87" s="1">
        <v>46387</v>
      </c>
    </row>
    <row r="88" spans="1:5" ht="30" customHeight="1" x14ac:dyDescent="0.4">
      <c r="A88" s="3">
        <v>85</v>
      </c>
      <c r="B88" s="2" t="s">
        <v>1619</v>
      </c>
      <c r="C88" s="2" t="str">
        <f>"719-1136"</f>
        <v>719-1136</v>
      </c>
      <c r="D88" s="2" t="str">
        <f>"総社市駅前１丁目６－１"</f>
        <v>総社市駅前１丁目６－１</v>
      </c>
      <c r="E88" s="1">
        <v>46387</v>
      </c>
    </row>
    <row r="89" spans="1:5" ht="30" customHeight="1" x14ac:dyDescent="0.4">
      <c r="A89" s="3">
        <v>86</v>
      </c>
      <c r="B89" s="2" t="s">
        <v>1622</v>
      </c>
      <c r="C89" s="2" t="str">
        <f>"719-1124"</f>
        <v>719-1124</v>
      </c>
      <c r="D89" s="2" t="str">
        <f>"総社市三須１５２４－４"</f>
        <v>総社市三須１５２４－４</v>
      </c>
      <c r="E89" s="1">
        <v>46387</v>
      </c>
    </row>
    <row r="90" spans="1:5" ht="30" customHeight="1" x14ac:dyDescent="0.4">
      <c r="A90" s="3">
        <v>87</v>
      </c>
      <c r="B90" s="2" t="s">
        <v>1625</v>
      </c>
      <c r="C90" s="2" t="str">
        <f>"719-1131"</f>
        <v>719-1131</v>
      </c>
      <c r="D90" s="2" t="str">
        <f>"総社市中央１丁目２－１３ 高杉事務所２階"</f>
        <v>総社市中央１丁目２－１３ 高杉事務所２階</v>
      </c>
      <c r="E90" s="1">
        <v>46387</v>
      </c>
    </row>
    <row r="91" spans="1:5" ht="30" customHeight="1" x14ac:dyDescent="0.4">
      <c r="A91" s="3">
        <v>88</v>
      </c>
      <c r="B91" s="2" t="s">
        <v>1632</v>
      </c>
      <c r="C91" s="2" t="str">
        <f>"716-0028"</f>
        <v>716-0028</v>
      </c>
      <c r="D91" s="2" t="str">
        <f>"高梁市柿木町28-1"</f>
        <v>高梁市柿木町28-1</v>
      </c>
      <c r="E91" s="1">
        <v>47118</v>
      </c>
    </row>
    <row r="92" spans="1:5" ht="30" customHeight="1" x14ac:dyDescent="0.4">
      <c r="A92" s="3">
        <v>89</v>
      </c>
      <c r="B92" s="2" t="s">
        <v>1662</v>
      </c>
      <c r="C92" s="2" t="str">
        <f>"716-0111"</f>
        <v>716-0111</v>
      </c>
      <c r="D92" s="2" t="s">
        <v>855</v>
      </c>
      <c r="E92" s="1">
        <v>46387</v>
      </c>
    </row>
    <row r="93" spans="1:5" ht="30" customHeight="1" x14ac:dyDescent="0.4">
      <c r="A93" s="3">
        <v>90</v>
      </c>
      <c r="B93" s="2" t="s">
        <v>1630</v>
      </c>
      <c r="C93" s="2" t="str">
        <f>"716-0033"</f>
        <v>716-0033</v>
      </c>
      <c r="D93" s="2" t="s">
        <v>1631</v>
      </c>
      <c r="E93" s="1">
        <v>47118</v>
      </c>
    </row>
    <row r="94" spans="1:5" ht="30" customHeight="1" x14ac:dyDescent="0.4">
      <c r="A94" s="3">
        <v>91</v>
      </c>
      <c r="B94" s="2" t="s">
        <v>1629</v>
      </c>
      <c r="C94" s="2" t="str">
        <f>"716-0044"</f>
        <v>716-0044</v>
      </c>
      <c r="D94" s="2" t="str">
        <f>"高梁市原田南町1170-1"</f>
        <v>高梁市原田南町1170-1</v>
      </c>
      <c r="E94" s="1">
        <v>47118</v>
      </c>
    </row>
    <row r="95" spans="1:5" ht="30" customHeight="1" x14ac:dyDescent="0.4">
      <c r="A95" s="3">
        <v>92</v>
      </c>
      <c r="B95" s="2" t="s">
        <v>1633</v>
      </c>
      <c r="C95" s="2" t="str">
        <f>"718-0011"</f>
        <v>718-0011</v>
      </c>
      <c r="D95" s="2" t="s">
        <v>565</v>
      </c>
      <c r="E95" s="1">
        <v>46387</v>
      </c>
    </row>
    <row r="96" spans="1:5" ht="30" customHeight="1" x14ac:dyDescent="0.4">
      <c r="A96" s="3">
        <v>93</v>
      </c>
      <c r="B96" s="2" t="s">
        <v>1634</v>
      </c>
      <c r="C96" s="2" t="str">
        <f>"718-0003"</f>
        <v>718-0003</v>
      </c>
      <c r="D96" s="2" t="s">
        <v>1635</v>
      </c>
      <c r="E96" s="1">
        <v>46387</v>
      </c>
    </row>
    <row r="97" spans="1:5" ht="30" customHeight="1" x14ac:dyDescent="0.4">
      <c r="A97" s="3">
        <v>94</v>
      </c>
      <c r="B97" s="2" t="s">
        <v>1639</v>
      </c>
      <c r="C97" s="2" t="str">
        <f>"705-0022"</f>
        <v>705-0022</v>
      </c>
      <c r="D97" s="2" t="str">
        <f>"備前市東片上509-12"</f>
        <v>備前市東片上509-12</v>
      </c>
      <c r="E97" s="1">
        <v>47118</v>
      </c>
    </row>
    <row r="98" spans="1:5" ht="30" customHeight="1" x14ac:dyDescent="0.4">
      <c r="A98" s="3">
        <v>95</v>
      </c>
      <c r="B98" s="2" t="s">
        <v>1640</v>
      </c>
      <c r="C98" s="2" t="str">
        <f>"701-3204"</f>
        <v>701-3204</v>
      </c>
      <c r="D98" s="2" t="str">
        <f>"備前市日生町日生１４３９－５"</f>
        <v>備前市日生町日生１４３９－５</v>
      </c>
      <c r="E98" s="1">
        <v>47483</v>
      </c>
    </row>
    <row r="99" spans="1:5" ht="30" customHeight="1" x14ac:dyDescent="0.4">
      <c r="A99" s="3">
        <v>96</v>
      </c>
      <c r="B99" s="2" t="s">
        <v>1636</v>
      </c>
      <c r="C99" s="2" t="str">
        <f>"705-0001"</f>
        <v>705-0001</v>
      </c>
      <c r="D99" s="2" t="str">
        <f>"備前市伊部２２３１－１"</f>
        <v>備前市伊部２２３１－１</v>
      </c>
      <c r="E99" s="1">
        <v>46387</v>
      </c>
    </row>
    <row r="100" spans="1:5" ht="30" customHeight="1" x14ac:dyDescent="0.4">
      <c r="A100" s="3">
        <v>97</v>
      </c>
      <c r="B100" s="2" t="s">
        <v>1641</v>
      </c>
      <c r="C100" s="2" t="str">
        <f>"705-0021"</f>
        <v>705-0021</v>
      </c>
      <c r="D100" s="2" t="s">
        <v>1642</v>
      </c>
      <c r="E100" s="1">
        <v>47483</v>
      </c>
    </row>
    <row r="101" spans="1:5" ht="30" customHeight="1" x14ac:dyDescent="0.4">
      <c r="A101" s="3">
        <v>98</v>
      </c>
      <c r="B101" s="2" t="s">
        <v>1637</v>
      </c>
      <c r="C101" s="2" t="str">
        <f>"705-0021"</f>
        <v>705-0021</v>
      </c>
      <c r="D101" s="2" t="s">
        <v>1638</v>
      </c>
      <c r="E101" s="1">
        <v>46387</v>
      </c>
    </row>
    <row r="102" spans="1:5" ht="30" customHeight="1" x14ac:dyDescent="0.4">
      <c r="A102" s="3">
        <v>99</v>
      </c>
      <c r="B102" s="2" t="s">
        <v>1653</v>
      </c>
      <c r="C102" s="2" t="str">
        <f>"701-4253"</f>
        <v>701-4253</v>
      </c>
      <c r="D102" s="2" t="str">
        <f>"瀬戸内市邑久町箕輪２６６－１"</f>
        <v>瀬戸内市邑久町箕輪２６６－１</v>
      </c>
      <c r="E102" s="1">
        <v>46387</v>
      </c>
    </row>
    <row r="103" spans="1:5" ht="30" customHeight="1" x14ac:dyDescent="0.4">
      <c r="A103" s="3">
        <v>100</v>
      </c>
      <c r="B103" s="2" t="s">
        <v>1654</v>
      </c>
      <c r="C103" s="2" t="str">
        <f>"701-4502"</f>
        <v>701-4502</v>
      </c>
      <c r="D103" s="2" t="str">
        <f>"瀬戸内市邑久町福谷２１４－１"</f>
        <v>瀬戸内市邑久町福谷２１４－１</v>
      </c>
      <c r="E103" s="1">
        <v>48213</v>
      </c>
    </row>
    <row r="104" spans="1:5" ht="30" customHeight="1" x14ac:dyDescent="0.4">
      <c r="A104" s="3">
        <v>101</v>
      </c>
      <c r="B104" s="2" t="s">
        <v>1644</v>
      </c>
      <c r="C104" s="2" t="str">
        <f>"709-0802"</f>
        <v>709-0802</v>
      </c>
      <c r="D104" s="2" t="s">
        <v>1645</v>
      </c>
      <c r="E104" s="1">
        <v>46387</v>
      </c>
    </row>
    <row r="105" spans="1:5" ht="30" customHeight="1" x14ac:dyDescent="0.4">
      <c r="A105" s="3">
        <v>102</v>
      </c>
      <c r="B105" s="2" t="s">
        <v>1643</v>
      </c>
      <c r="C105" s="2" t="str">
        <f>"709-0821"</f>
        <v>709-0821</v>
      </c>
      <c r="D105" s="2" t="s">
        <v>657</v>
      </c>
      <c r="E105" s="1">
        <v>46387</v>
      </c>
    </row>
    <row r="106" spans="1:5" ht="30" customHeight="1" x14ac:dyDescent="0.4">
      <c r="A106" s="3">
        <v>103</v>
      </c>
      <c r="B106" s="2" t="s">
        <v>1647</v>
      </c>
      <c r="C106" s="2" t="str">
        <f>"709-0821"</f>
        <v>709-0821</v>
      </c>
      <c r="D106" s="2" t="s">
        <v>1648</v>
      </c>
      <c r="E106" s="1">
        <v>46387</v>
      </c>
    </row>
    <row r="107" spans="1:5" ht="30" customHeight="1" x14ac:dyDescent="0.4">
      <c r="A107" s="3">
        <v>104</v>
      </c>
      <c r="B107" s="2" t="s">
        <v>1649</v>
      </c>
      <c r="C107" s="2" t="str">
        <f>"709-0816"</f>
        <v>709-0816</v>
      </c>
      <c r="D107" s="2" t="s">
        <v>1650</v>
      </c>
      <c r="E107" s="1">
        <v>46752</v>
      </c>
    </row>
    <row r="108" spans="1:5" ht="30" customHeight="1" x14ac:dyDescent="0.4">
      <c r="A108" s="3">
        <v>105</v>
      </c>
      <c r="B108" s="2" t="s">
        <v>1646</v>
      </c>
      <c r="C108" s="2" t="str">
        <f>"709-0705"</f>
        <v>709-0705</v>
      </c>
      <c r="D108" s="2" t="s">
        <v>879</v>
      </c>
      <c r="E108" s="1">
        <v>46387</v>
      </c>
    </row>
    <row r="109" spans="1:5" ht="30" customHeight="1" x14ac:dyDescent="0.4">
      <c r="A109" s="3">
        <v>106</v>
      </c>
      <c r="B109" s="2" t="s">
        <v>1668</v>
      </c>
      <c r="C109" s="2" t="str">
        <f>"719-3197"</f>
        <v>719-3197</v>
      </c>
      <c r="D109" s="2" t="s">
        <v>1669</v>
      </c>
      <c r="E109" s="1">
        <v>46387</v>
      </c>
    </row>
    <row r="110" spans="1:5" ht="30" customHeight="1" x14ac:dyDescent="0.4">
      <c r="A110" s="3">
        <v>107</v>
      </c>
      <c r="B110" s="2" t="s">
        <v>1670</v>
      </c>
      <c r="C110" s="2" t="str">
        <f>"719-3141"</f>
        <v>719-3141</v>
      </c>
      <c r="D110" s="2" t="str">
        <f>"真庭市上市瀬384-2"</f>
        <v>真庭市上市瀬384-2</v>
      </c>
      <c r="E110" s="1">
        <v>46752</v>
      </c>
    </row>
    <row r="111" spans="1:5" ht="30" customHeight="1" x14ac:dyDescent="0.4">
      <c r="A111" s="3">
        <v>108</v>
      </c>
      <c r="B111" s="2" t="s">
        <v>1664</v>
      </c>
      <c r="C111" s="2" t="str">
        <f>"717-0403"</f>
        <v>717-0403</v>
      </c>
      <c r="D111" s="2" t="s">
        <v>1665</v>
      </c>
      <c r="E111" s="1">
        <v>46387</v>
      </c>
    </row>
    <row r="112" spans="1:5" ht="30" customHeight="1" x14ac:dyDescent="0.4">
      <c r="A112" s="3">
        <v>109</v>
      </c>
      <c r="B112" s="2" t="s">
        <v>1663</v>
      </c>
      <c r="C112" s="2" t="str">
        <f>"719-3105"</f>
        <v>719-3105</v>
      </c>
      <c r="D112" s="2" t="s">
        <v>759</v>
      </c>
      <c r="E112" s="1">
        <v>46387</v>
      </c>
    </row>
    <row r="113" spans="1:5" ht="30" customHeight="1" x14ac:dyDescent="0.4">
      <c r="A113" s="3">
        <v>110</v>
      </c>
      <c r="B113" s="2" t="s">
        <v>1667</v>
      </c>
      <c r="C113" s="2" t="str">
        <f>"717-0013"</f>
        <v>717-0013</v>
      </c>
      <c r="D113" s="2" t="s">
        <v>772</v>
      </c>
      <c r="E113" s="1">
        <v>46387</v>
      </c>
    </row>
    <row r="114" spans="1:5" ht="30" customHeight="1" x14ac:dyDescent="0.4">
      <c r="A114" s="3">
        <v>111</v>
      </c>
      <c r="B114" s="2" t="s">
        <v>1666</v>
      </c>
      <c r="C114" s="2" t="str">
        <f>"717-0007"</f>
        <v>717-0007</v>
      </c>
      <c r="D114" s="2" t="s">
        <v>755</v>
      </c>
      <c r="E114" s="1">
        <v>46387</v>
      </c>
    </row>
    <row r="115" spans="1:5" ht="30" customHeight="1" x14ac:dyDescent="0.4">
      <c r="A115" s="3">
        <v>112</v>
      </c>
      <c r="B115" s="2" t="s">
        <v>1675</v>
      </c>
      <c r="C115" s="2" t="str">
        <f>"707-0003"</f>
        <v>707-0003</v>
      </c>
      <c r="D115" s="2" t="str">
        <f>"美作市明見550-1"</f>
        <v>美作市明見550-1</v>
      </c>
      <c r="E115" s="1">
        <v>47483</v>
      </c>
    </row>
    <row r="116" spans="1:5" ht="30" customHeight="1" x14ac:dyDescent="0.4">
      <c r="A116" s="3">
        <v>113</v>
      </c>
      <c r="B116" s="2" t="s">
        <v>1674</v>
      </c>
      <c r="C116" s="2" t="str">
        <f>"707-0003"</f>
        <v>707-0003</v>
      </c>
      <c r="D116" s="2" t="s">
        <v>805</v>
      </c>
      <c r="E116" s="1">
        <v>46387</v>
      </c>
    </row>
    <row r="117" spans="1:5" ht="30" customHeight="1" x14ac:dyDescent="0.4">
      <c r="A117" s="3">
        <v>114</v>
      </c>
      <c r="B117" s="2" t="s">
        <v>1659</v>
      </c>
      <c r="C117" s="2" t="str">
        <f>"719-0104"</f>
        <v>719-0104</v>
      </c>
      <c r="D117" s="2" t="s">
        <v>1660</v>
      </c>
      <c r="E117" s="1">
        <v>47118</v>
      </c>
    </row>
    <row r="118" spans="1:5" ht="30" customHeight="1" x14ac:dyDescent="0.4">
      <c r="A118" s="3">
        <v>115</v>
      </c>
      <c r="B118" s="2" t="s">
        <v>1657</v>
      </c>
      <c r="C118" s="2" t="str">
        <f>"719-0106"</f>
        <v>719-0106</v>
      </c>
      <c r="D118" s="2" t="str">
        <f>"浅口市金光町地頭下２８４－１"</f>
        <v>浅口市金光町地頭下２８４－１</v>
      </c>
      <c r="E118" s="1">
        <v>46387</v>
      </c>
    </row>
    <row r="119" spans="1:5" ht="30" customHeight="1" x14ac:dyDescent="0.4">
      <c r="A119" s="3">
        <v>116</v>
      </c>
      <c r="B119" s="2" t="s">
        <v>1658</v>
      </c>
      <c r="C119" s="2" t="str">
        <f>"719-0104"</f>
        <v>719-0104</v>
      </c>
      <c r="D119" s="2" t="str">
        <f>"浅口市金光町占見新田４５５－３"</f>
        <v>浅口市金光町占見新田４５５－３</v>
      </c>
      <c r="E119" s="1">
        <v>48213</v>
      </c>
    </row>
    <row r="120" spans="1:5" ht="30" customHeight="1" x14ac:dyDescent="0.4">
      <c r="A120" s="3">
        <v>117</v>
      </c>
      <c r="B120" s="2" t="s">
        <v>1651</v>
      </c>
      <c r="C120" s="2" t="str">
        <f>"709-0464"</f>
        <v>709-0464</v>
      </c>
      <c r="D120" s="2" t="s">
        <v>1652</v>
      </c>
      <c r="E120" s="1">
        <v>47848</v>
      </c>
    </row>
    <row r="121" spans="1:5" ht="30" customHeight="1" x14ac:dyDescent="0.4">
      <c r="A121" s="3">
        <v>118</v>
      </c>
      <c r="B121" s="2" t="s">
        <v>1656</v>
      </c>
      <c r="C121" s="2" t="str">
        <f>"701-0303"</f>
        <v>701-0303</v>
      </c>
      <c r="D121" s="2" t="str">
        <f>"都窪郡早島町前潟1075-1-203号"</f>
        <v>都窪郡早島町前潟1075-1-203号</v>
      </c>
      <c r="E121" s="1">
        <v>46387</v>
      </c>
    </row>
    <row r="122" spans="1:5" ht="30" customHeight="1" x14ac:dyDescent="0.4">
      <c r="A122" s="3">
        <v>119</v>
      </c>
      <c r="B122" s="2" t="s">
        <v>1661</v>
      </c>
      <c r="C122" s="2" t="str">
        <f>"714-1213"</f>
        <v>714-1213</v>
      </c>
      <c r="D122" s="2" t="str">
        <f>"小田郡矢掛町里山田５９７－１"</f>
        <v>小田郡矢掛町里山田５９７－１</v>
      </c>
      <c r="E122" s="1">
        <v>46387</v>
      </c>
    </row>
    <row r="123" spans="1:5" ht="30" customHeight="1" x14ac:dyDescent="0.4">
      <c r="A123" s="3">
        <v>120</v>
      </c>
      <c r="B123" s="2" t="s">
        <v>1644</v>
      </c>
      <c r="C123" s="2" t="str">
        <f>"708-0332"</f>
        <v>708-0332</v>
      </c>
      <c r="D123" s="2" t="s">
        <v>1671</v>
      </c>
      <c r="E123" s="1">
        <v>46387</v>
      </c>
    </row>
    <row r="124" spans="1:5" ht="30" customHeight="1" x14ac:dyDescent="0.4">
      <c r="A124" s="3">
        <v>121</v>
      </c>
      <c r="B124" s="2" t="s">
        <v>1673</v>
      </c>
      <c r="C124" s="2" t="str">
        <f>"709-4312"</f>
        <v>709-4312</v>
      </c>
      <c r="D124" s="2" t="s">
        <v>791</v>
      </c>
      <c r="E124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時松　麻理子</dc:creator>
  <cp:lastModifiedBy>時松　麻理子</cp:lastModifiedBy>
  <dcterms:created xsi:type="dcterms:W3CDTF">2026-03-10T06:53:40Z</dcterms:created>
  <dcterms:modified xsi:type="dcterms:W3CDTF">2026-03-10T06:57:21Z</dcterms:modified>
</cp:coreProperties>
</file>