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市町村・保健所・県計" sheetId="1" r:id="rId1"/>
    <sheet name="年齢階級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 localSheetId="0">'市町村・保健所・県計'!#REF!</definedName>
    <definedName name="_15.8.5女子宮" localSheetId="1">'年齢階級別'!#REF!</definedName>
    <definedName name="_15.8.5女子宮">'[2]保健所'!#REF!</definedName>
    <definedName name="_15.8.6女乳">'[1]乳'!#REF!</definedName>
    <definedName name="_xlnm.Print_Area" localSheetId="0">'市町村・保健所・県計'!$A$1:$Z$127</definedName>
    <definedName name="_xlnm.Print_Area" localSheetId="1">'年齢階級別'!$A$1:$AA$45</definedName>
    <definedName name="_xlnm.Print_Titles" localSheetId="0">'市町村・保健所・県計'!$1:$4</definedName>
  </definedNames>
  <calcPr fullCalcOnLoad="1"/>
</workbook>
</file>

<file path=xl/sharedStrings.xml><?xml version="1.0" encoding="utf-8"?>
<sst xmlns="http://schemas.openxmlformats.org/spreadsheetml/2006/main" count="313" uniqueCount="114">
  <si>
    <t>初回受診者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</si>
  <si>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</si>
  <si>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</si>
  <si>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</si>
  <si>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</si>
  <si>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</si>
  <si>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</si>
  <si>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</si>
  <si>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</si>
  <si>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</si>
  <si>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</si>
  <si>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</si>
  <si>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</si>
  <si>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</si>
  <si>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</si>
  <si>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（再掲）</t>
  </si>
  <si>
    <t>集団</t>
  </si>
  <si>
    <t>玉野市</t>
  </si>
  <si>
    <t>備前市</t>
  </si>
  <si>
    <t>和気町</t>
  </si>
  <si>
    <t>総社市</t>
  </si>
  <si>
    <t>早島町</t>
  </si>
  <si>
    <t>笠岡市</t>
  </si>
  <si>
    <t>浅口市</t>
  </si>
  <si>
    <t>里庄町</t>
  </si>
  <si>
    <t>矢掛町</t>
  </si>
  <si>
    <t>新見市</t>
  </si>
  <si>
    <t>新庄村</t>
  </si>
  <si>
    <t>津山市</t>
  </si>
  <si>
    <t>鏡野町</t>
  </si>
  <si>
    <t>久米南町</t>
  </si>
  <si>
    <t>美咲町</t>
  </si>
  <si>
    <t>勝央町</t>
  </si>
  <si>
    <t>奈義町</t>
  </si>
  <si>
    <t>西粟倉村</t>
  </si>
  <si>
    <t>岡山保健所</t>
  </si>
  <si>
    <t>岡山市保健所</t>
  </si>
  <si>
    <t>倉敷市保健所</t>
  </si>
  <si>
    <t>東備保健所</t>
  </si>
  <si>
    <t>倉敷保健所</t>
  </si>
  <si>
    <t>井笠保健所</t>
  </si>
  <si>
    <t>高梁保健所</t>
  </si>
  <si>
    <t>新見保健所</t>
  </si>
  <si>
    <t>真庭保健所</t>
  </si>
  <si>
    <t>津山保健所</t>
  </si>
  <si>
    <t>勝英保健所</t>
  </si>
  <si>
    <t>岡山県</t>
  </si>
  <si>
    <t>受診者の状況</t>
  </si>
  <si>
    <t>精密検診</t>
  </si>
  <si>
    <t>精密検診結果別人員</t>
  </si>
  <si>
    <t>対象者数
（人）</t>
  </si>
  <si>
    <t>対象者率
（％）</t>
  </si>
  <si>
    <t>受診者数
（人）</t>
  </si>
  <si>
    <t>受診率
（％）</t>
  </si>
  <si>
    <t>要精検者
数（人）</t>
  </si>
  <si>
    <t>要精検率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</si>
  <si>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</si>
  <si>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</si>
  <si>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</si>
  <si>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</si>
  <si>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</si>
  <si>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未受診者
（人）</t>
  </si>
  <si>
    <t>がん
発見率
（％）</t>
  </si>
  <si>
    <t>陽性反応
的中度
（％）</t>
  </si>
  <si>
    <t>初回
受診者
（人）</t>
  </si>
  <si>
    <t>同左の
割合
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</si>
  <si>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</si>
  <si>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</si>
  <si>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</si>
  <si>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</si>
  <si>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</si>
  <si>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</si>
  <si>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</si>
  <si>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</si>
  <si>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</si>
  <si>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</si>
  <si>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F/C</t>
  </si>
  <si>
    <t>F/E</t>
  </si>
  <si>
    <t>視触診単独方式</t>
  </si>
  <si>
    <t>視触診単独方式</t>
  </si>
  <si>
    <t>岡山市
（本庁）</t>
  </si>
  <si>
    <t>岡山市
（御津）</t>
  </si>
  <si>
    <t>岡山市
（建部）</t>
  </si>
  <si>
    <t>倉敷市</t>
  </si>
  <si>
    <t>瀬戸内市</t>
  </si>
  <si>
    <t>吉備中央町</t>
  </si>
  <si>
    <t>赤磐市</t>
  </si>
  <si>
    <t>井原市</t>
  </si>
  <si>
    <t>高梁市</t>
  </si>
  <si>
    <t>真庭市</t>
  </si>
  <si>
    <t>美作市</t>
  </si>
  <si>
    <t>早期がん発見患者数（人）</t>
  </si>
  <si>
    <t>G</t>
  </si>
  <si>
    <t>G/C</t>
  </si>
  <si>
    <t>H</t>
  </si>
  <si>
    <t>H/C</t>
  </si>
  <si>
    <t>がん発見</t>
  </si>
  <si>
    <t>２年連続
受診者数
（本年度中）</t>
  </si>
  <si>
    <t>マンモグラフィのみ</t>
  </si>
  <si>
    <t>視触診及びマンモグラフィ</t>
  </si>
  <si>
    <t>早期
発見率
（％）</t>
  </si>
  <si>
    <t>マンモグラフィのみ</t>
  </si>
  <si>
    <t>F/E</t>
  </si>
  <si>
    <t>平成２０年度　乳がん検診</t>
  </si>
  <si>
    <t>平成２０年度　乳がん検診（年齢階級別）</t>
  </si>
  <si>
    <t>マンモグラフィのみ</t>
  </si>
  <si>
    <t>前年度
受診者
（人）</t>
  </si>
  <si>
    <t>J</t>
  </si>
  <si>
    <t>（C+J-I）/B</t>
  </si>
  <si>
    <t>I</t>
  </si>
  <si>
    <t>国方式（４０歳以上）１回／２年</t>
  </si>
  <si>
    <t>※視触診単独方式は３０歳以上</t>
  </si>
  <si>
    <t>※マンモグラフィのみ、視触診及びマンモグラフィは４０歳以上</t>
  </si>
  <si>
    <t>対象年齢
人口
（人）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</si>
</sst>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"/>
    <numFmt numFmtId="178" formatCode="yy/mm/dd"/>
    <numFmt numFmtId="179" formatCode="#,##0_);[Red]\(#,##0\)"/>
    <numFmt numFmtId="180" formatCode="0_ "/>
    <numFmt numFmtId="181" formatCode="#,##0_ "/>
    <numFmt numFmtId="182" formatCode="#,##0.0_);[Red]\(#,##0.0\)"/>
    <numFmt numFmtId="183" formatCode="#,##0.000_);[Red]\(#,##0.000\)"/>
    <numFmt numFmtId="184" formatCode="0.0_);[Red]\(0.0\)"/>
    <numFmt numFmtId="185" formatCode="0.000_);[Red]\(0.000\)"/>
    <numFmt numFmtId="186" formatCode="#,##0.00_);[Red]\(#,##0.00\)"/>
    <numFmt numFmtId="187" formatCode="#,##0.0_ "/>
    <numFmt numFmtId="188" formatCode="0_);[Red]\(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uble"/>
      <top>
        <color indexed="63"/>
      </top>
      <bottom style="dotted"/>
    </border>
    <border>
      <left style="thin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81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8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4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84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4" fontId="8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85" fontId="8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81" fontId="8" fillId="2" borderId="1" xfId="0" applyNumberFormat="1" applyFont="1" applyFill="1" applyBorder="1" applyAlignment="1" applyProtection="1">
      <alignment vertical="center"/>
      <protection/>
    </xf>
    <xf numFmtId="181" fontId="8" fillId="2" borderId="3" xfId="0" applyNumberFormat="1" applyFont="1" applyFill="1" applyBorder="1" applyAlignment="1" applyProtection="1">
      <alignment vertical="center"/>
      <protection/>
    </xf>
    <xf numFmtId="181" fontId="8" fillId="0" borderId="4" xfId="0" applyNumberFormat="1" applyFont="1" applyFill="1" applyBorder="1" applyAlignment="1" applyProtection="1">
      <alignment vertical="center"/>
      <protection/>
    </xf>
    <xf numFmtId="181" fontId="8" fillId="0" borderId="8" xfId="0" applyNumberFormat="1" applyFont="1" applyFill="1" applyBorder="1" applyAlignment="1" applyProtection="1">
      <alignment vertical="center"/>
      <protection/>
    </xf>
    <xf numFmtId="184" fontId="8" fillId="0" borderId="9" xfId="0" applyNumberFormat="1" applyFont="1" applyFill="1" applyBorder="1" applyAlignment="1" applyProtection="1">
      <alignment vertical="center"/>
      <protection/>
    </xf>
    <xf numFmtId="184" fontId="8" fillId="0" borderId="8" xfId="0" applyNumberFormat="1" applyFont="1" applyFill="1" applyBorder="1" applyAlignment="1" applyProtection="1">
      <alignment vertical="center"/>
      <protection/>
    </xf>
    <xf numFmtId="181" fontId="8" fillId="0" borderId="8" xfId="0" applyNumberFormat="1" applyFont="1" applyFill="1" applyBorder="1" applyAlignment="1" applyProtection="1">
      <alignment vertical="center"/>
      <protection locked="0"/>
    </xf>
    <xf numFmtId="184" fontId="8" fillId="0" borderId="8" xfId="0" applyNumberFormat="1" applyFont="1" applyFill="1" applyBorder="1" applyAlignment="1" applyProtection="1">
      <alignment vertical="center"/>
      <protection locked="0"/>
    </xf>
    <xf numFmtId="181" fontId="8" fillId="0" borderId="10" xfId="0" applyNumberFormat="1" applyFont="1" applyFill="1" applyBorder="1" applyAlignment="1" applyProtection="1">
      <alignment vertical="center"/>
      <protection/>
    </xf>
    <xf numFmtId="185" fontId="8" fillId="0" borderId="11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 vertical="center"/>
      <protection/>
    </xf>
    <xf numFmtId="184" fontId="8" fillId="0" borderId="14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5" fontId="8" fillId="0" borderId="16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4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9" xfId="0" applyNumberFormat="1" applyFont="1" applyFill="1" applyBorder="1" applyAlignment="1" applyProtection="1">
      <alignment vertical="center"/>
      <protection/>
    </xf>
    <xf numFmtId="181" fontId="8" fillId="2" borderId="20" xfId="0" applyNumberFormat="1" applyFont="1" applyFill="1" applyBorder="1" applyAlignment="1" applyProtection="1">
      <alignment vertical="center"/>
      <protection/>
    </xf>
    <xf numFmtId="181" fontId="8" fillId="2" borderId="21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Alignment="1" quotePrefix="1">
      <alignment horizontal="center" vertical="center"/>
    </xf>
    <xf numFmtId="181" fontId="8" fillId="2" borderId="1" xfId="0" applyNumberFormat="1" applyFont="1" applyFill="1" applyBorder="1" applyAlignment="1">
      <alignment horizontal="center" vertical="center" wrapText="1"/>
    </xf>
    <xf numFmtId="181" fontId="8" fillId="0" borderId="4" xfId="0" applyNumberFormat="1" applyFont="1" applyFill="1" applyBorder="1" applyAlignment="1">
      <alignment horizontal="center" vertical="center" wrapText="1"/>
    </xf>
    <xf numFmtId="181" fontId="8" fillId="0" borderId="8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181" fontId="8" fillId="0" borderId="13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1" fontId="8" fillId="0" borderId="22" xfId="0" applyNumberFormat="1" applyFont="1" applyFill="1" applyBorder="1" applyAlignment="1" applyProtection="1">
      <alignment vertical="center"/>
      <protection locked="0"/>
    </xf>
    <xf numFmtId="181" fontId="8" fillId="0" borderId="23" xfId="0" applyNumberFormat="1" applyFont="1" applyFill="1" applyBorder="1" applyAlignment="1">
      <alignment vertical="center"/>
    </xf>
    <xf numFmtId="181" fontId="8" fillId="0" borderId="23" xfId="0" applyNumberFormat="1" applyFont="1" applyFill="1" applyBorder="1" applyAlignment="1" applyProtection="1">
      <alignment vertical="center"/>
      <protection locked="0"/>
    </xf>
    <xf numFmtId="181" fontId="8" fillId="0" borderId="24" xfId="0" applyNumberFormat="1" applyFont="1" applyFill="1" applyBorder="1" applyAlignment="1" applyProtection="1">
      <alignment vertical="center"/>
      <protection locked="0"/>
    </xf>
    <xf numFmtId="181" fontId="8" fillId="0" borderId="25" xfId="0" applyNumberFormat="1" applyFont="1" applyFill="1" applyBorder="1" applyAlignment="1" applyProtection="1">
      <alignment vertical="center"/>
      <protection locked="0"/>
    </xf>
    <xf numFmtId="184" fontId="8" fillId="0" borderId="26" xfId="0" applyNumberFormat="1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 wrapText="1"/>
    </xf>
    <xf numFmtId="184" fontId="8" fillId="0" borderId="26" xfId="0" applyNumberFormat="1" applyFont="1" applyFill="1" applyBorder="1" applyAlignment="1">
      <alignment horizontal="center" vertical="center" wrapText="1"/>
    </xf>
    <xf numFmtId="184" fontId="8" fillId="0" borderId="22" xfId="0" applyNumberFormat="1" applyFont="1" applyFill="1" applyBorder="1" applyAlignment="1" applyProtection="1">
      <alignment vertical="center"/>
      <protection locked="0"/>
    </xf>
    <xf numFmtId="184" fontId="8" fillId="0" borderId="23" xfId="0" applyNumberFormat="1" applyFont="1" applyFill="1" applyBorder="1" applyAlignment="1" applyProtection="1">
      <alignment vertical="center"/>
      <protection locked="0"/>
    </xf>
    <xf numFmtId="184" fontId="8" fillId="0" borderId="24" xfId="0" applyNumberFormat="1" applyFont="1" applyFill="1" applyBorder="1" applyAlignment="1" applyProtection="1">
      <alignment vertical="center"/>
      <protection locked="0"/>
    </xf>
    <xf numFmtId="184" fontId="8" fillId="0" borderId="25" xfId="0" applyNumberFormat="1" applyFont="1" applyFill="1" applyBorder="1" applyAlignment="1" applyProtection="1">
      <alignment vertical="center"/>
      <protection locked="0"/>
    </xf>
    <xf numFmtId="185" fontId="8" fillId="0" borderId="27" xfId="0" applyNumberFormat="1" applyFont="1" applyFill="1" applyBorder="1" applyAlignment="1">
      <alignment horizontal="center" vertical="center" wrapText="1"/>
    </xf>
    <xf numFmtId="181" fontId="8" fillId="0" borderId="28" xfId="0" applyNumberFormat="1" applyFont="1" applyFill="1" applyBorder="1" applyAlignment="1" applyProtection="1">
      <alignment vertical="center"/>
      <protection locked="0"/>
    </xf>
    <xf numFmtId="181" fontId="8" fillId="0" borderId="29" xfId="0" applyNumberFormat="1" applyFont="1" applyFill="1" applyBorder="1" applyAlignment="1" applyProtection="1">
      <alignment vertical="center"/>
      <protection locked="0"/>
    </xf>
    <xf numFmtId="181" fontId="8" fillId="0" borderId="5" xfId="0" applyNumberFormat="1" applyFont="1" applyFill="1" applyBorder="1" applyAlignment="1">
      <alignment horizontal="center" vertical="center" wrapText="1"/>
    </xf>
    <xf numFmtId="181" fontId="8" fillId="0" borderId="30" xfId="0" applyNumberFormat="1" applyFont="1" applyFill="1" applyBorder="1" applyAlignment="1">
      <alignment horizontal="center" vertical="center" wrapText="1"/>
    </xf>
    <xf numFmtId="181" fontId="8" fillId="0" borderId="26" xfId="0" applyNumberFormat="1" applyFont="1" applyFill="1" applyBorder="1" applyAlignment="1">
      <alignment horizontal="center" vertical="center" wrapText="1"/>
    </xf>
    <xf numFmtId="181" fontId="8" fillId="0" borderId="31" xfId="0" applyNumberFormat="1" applyFont="1" applyFill="1" applyBorder="1" applyAlignment="1">
      <alignment horizontal="center" vertical="center" wrapText="1"/>
    </xf>
    <xf numFmtId="181" fontId="8" fillId="0" borderId="32" xfId="0" applyNumberFormat="1" applyFont="1" applyFill="1" applyBorder="1" applyAlignment="1" applyProtection="1">
      <alignment vertical="center"/>
      <protection locked="0"/>
    </xf>
    <xf numFmtId="181" fontId="8" fillId="0" borderId="2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33" xfId="0" applyNumberFormat="1" applyFont="1" applyFill="1" applyBorder="1" applyAlignment="1">
      <alignment horizontal="centerContinuous" vertical="center" wrapText="1"/>
    </xf>
    <xf numFmtId="181" fontId="8" fillId="0" borderId="34" xfId="0" applyNumberFormat="1" applyFont="1" applyFill="1" applyBorder="1" applyAlignment="1">
      <alignment horizontal="centerContinuous" vertical="center" wrapText="1"/>
    </xf>
    <xf numFmtId="181" fontId="8" fillId="0" borderId="35" xfId="0" applyNumberFormat="1" applyFont="1" applyFill="1" applyBorder="1" applyAlignment="1">
      <alignment horizontal="centerContinuous" vertical="center" wrapText="1"/>
    </xf>
    <xf numFmtId="181" fontId="8" fillId="0" borderId="36" xfId="0" applyNumberFormat="1" applyFont="1" applyFill="1" applyBorder="1" applyAlignment="1">
      <alignment horizontal="centerContinuous" vertical="center" wrapText="1"/>
    </xf>
    <xf numFmtId="181" fontId="8" fillId="0" borderId="9" xfId="0" applyNumberFormat="1" applyFont="1" applyFill="1" applyBorder="1" applyAlignment="1">
      <alignment horizontal="centerContinuous" vertical="center" wrapText="1"/>
    </xf>
    <xf numFmtId="181" fontId="8" fillId="0" borderId="37" xfId="0" applyNumberFormat="1" applyFont="1" applyFill="1" applyBorder="1" applyAlignment="1">
      <alignment horizontal="centerContinuous" vertical="center" wrapText="1"/>
    </xf>
    <xf numFmtId="181" fontId="8" fillId="0" borderId="38" xfId="0" applyNumberFormat="1" applyFont="1" applyFill="1" applyBorder="1" applyAlignment="1">
      <alignment horizontal="centerContinuous" vertical="center" wrapText="1"/>
    </xf>
    <xf numFmtId="181" fontId="8" fillId="0" borderId="39" xfId="0" applyNumberFormat="1" applyFont="1" applyFill="1" applyBorder="1" applyAlignment="1">
      <alignment horizontal="centerContinuous" vertical="center" wrapText="1"/>
    </xf>
    <xf numFmtId="184" fontId="8" fillId="0" borderId="33" xfId="0" applyNumberFormat="1" applyFont="1" applyFill="1" applyBorder="1" applyAlignment="1">
      <alignment vertical="center"/>
    </xf>
    <xf numFmtId="184" fontId="8" fillId="0" borderId="35" xfId="0" applyNumberFormat="1" applyFont="1" applyFill="1" applyBorder="1" applyAlignment="1">
      <alignment vertical="center"/>
    </xf>
    <xf numFmtId="185" fontId="8" fillId="0" borderId="40" xfId="0" applyNumberFormat="1" applyFont="1" applyFill="1" applyBorder="1" applyAlignment="1" applyProtection="1">
      <alignment vertical="center"/>
      <protection locked="0"/>
    </xf>
    <xf numFmtId="185" fontId="8" fillId="0" borderId="41" xfId="0" applyNumberFormat="1" applyFont="1" applyFill="1" applyBorder="1" applyAlignment="1" applyProtection="1">
      <alignment vertical="center"/>
      <protection locked="0"/>
    </xf>
    <xf numFmtId="185" fontId="8" fillId="0" borderId="42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81" fontId="8" fillId="0" borderId="45" xfId="0" applyNumberFormat="1" applyFont="1" applyFill="1" applyBorder="1" applyAlignment="1" applyProtection="1">
      <alignment vertical="center"/>
      <protection locked="0"/>
    </xf>
    <xf numFmtId="181" fontId="8" fillId="0" borderId="46" xfId="0" applyNumberFormat="1" applyFont="1" applyFill="1" applyBorder="1" applyAlignment="1" applyProtection="1">
      <alignment vertical="center"/>
      <protection locked="0"/>
    </xf>
    <xf numFmtId="181" fontId="8" fillId="0" borderId="4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85" fontId="8" fillId="0" borderId="37" xfId="0" applyNumberFormat="1" applyFont="1" applyFill="1" applyBorder="1" applyAlignment="1" applyProtection="1">
      <alignment vertical="center"/>
      <protection/>
    </xf>
    <xf numFmtId="185" fontId="8" fillId="0" borderId="48" xfId="0" applyNumberFormat="1" applyFont="1" applyFill="1" applyBorder="1" applyAlignment="1" applyProtection="1">
      <alignment vertical="center"/>
      <protection/>
    </xf>
    <xf numFmtId="185" fontId="8" fillId="0" borderId="12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8" fillId="2" borderId="45" xfId="0" applyNumberFormat="1" applyFont="1" applyFill="1" applyBorder="1" applyAlignment="1" applyProtection="1">
      <alignment vertical="center"/>
      <protection/>
    </xf>
    <xf numFmtId="181" fontId="8" fillId="2" borderId="23" xfId="0" applyNumberFormat="1" applyFont="1" applyFill="1" applyBorder="1" applyAlignment="1">
      <alignment horizontal="center" vertical="center" wrapText="1"/>
    </xf>
    <xf numFmtId="181" fontId="8" fillId="2" borderId="23" xfId="0" applyNumberFormat="1" applyFont="1" applyFill="1" applyBorder="1" applyAlignment="1" applyProtection="1">
      <alignment vertical="center"/>
      <protection/>
    </xf>
    <xf numFmtId="181" fontId="8" fillId="2" borderId="23" xfId="0" applyNumberFormat="1" applyFont="1" applyFill="1" applyBorder="1" applyAlignment="1" applyProtection="1">
      <alignment vertical="center"/>
      <protection locked="0"/>
    </xf>
    <xf numFmtId="184" fontId="8" fillId="2" borderId="23" xfId="0" applyNumberFormat="1" applyFont="1" applyFill="1" applyBorder="1" applyAlignment="1" applyProtection="1">
      <alignment vertical="center"/>
      <protection locked="0"/>
    </xf>
    <xf numFmtId="181" fontId="8" fillId="2" borderId="46" xfId="0" applyNumberFormat="1" applyFont="1" applyFill="1" applyBorder="1" applyAlignment="1" applyProtection="1">
      <alignment vertical="center"/>
      <protection/>
    </xf>
    <xf numFmtId="185" fontId="8" fillId="2" borderId="41" xfId="0" applyNumberFormat="1" applyFont="1" applyFill="1" applyBorder="1" applyAlignment="1" applyProtection="1">
      <alignment vertical="center"/>
      <protection/>
    </xf>
    <xf numFmtId="185" fontId="8" fillId="2" borderId="36" xfId="0" applyNumberFormat="1" applyFont="1" applyFill="1" applyBorder="1" applyAlignment="1" applyProtection="1">
      <alignment vertical="center"/>
      <protection/>
    </xf>
    <xf numFmtId="184" fontId="8" fillId="2" borderId="35" xfId="0" applyNumberFormat="1" applyFont="1" applyFill="1" applyBorder="1" applyAlignment="1" applyProtection="1">
      <alignment vertical="center"/>
      <protection/>
    </xf>
    <xf numFmtId="181" fontId="8" fillId="2" borderId="25" xfId="0" applyNumberFormat="1" applyFont="1" applyFill="1" applyBorder="1" applyAlignment="1">
      <alignment horizontal="center" vertical="center" wrapText="1"/>
    </xf>
    <xf numFmtId="181" fontId="8" fillId="2" borderId="25" xfId="0" applyNumberFormat="1" applyFont="1" applyFill="1" applyBorder="1" applyAlignment="1" applyProtection="1">
      <alignment vertical="center"/>
      <protection/>
    </xf>
    <xf numFmtId="184" fontId="8" fillId="2" borderId="25" xfId="0" applyNumberFormat="1" applyFont="1" applyFill="1" applyBorder="1" applyAlignment="1" applyProtection="1">
      <alignment vertical="center"/>
      <protection/>
    </xf>
    <xf numFmtId="181" fontId="8" fillId="2" borderId="25" xfId="0" applyNumberFormat="1" applyFont="1" applyFill="1" applyBorder="1" applyAlignment="1" applyProtection="1">
      <alignment vertical="center"/>
      <protection locked="0"/>
    </xf>
    <xf numFmtId="184" fontId="8" fillId="2" borderId="25" xfId="0" applyNumberFormat="1" applyFont="1" applyFill="1" applyBorder="1" applyAlignment="1" applyProtection="1">
      <alignment vertical="center"/>
      <protection locked="0"/>
    </xf>
    <xf numFmtId="181" fontId="8" fillId="2" borderId="47" xfId="0" applyNumberFormat="1" applyFont="1" applyFill="1" applyBorder="1" applyAlignment="1" applyProtection="1">
      <alignment vertical="center"/>
      <protection/>
    </xf>
    <xf numFmtId="185" fontId="8" fillId="2" borderId="42" xfId="0" applyNumberFormat="1" applyFont="1" applyFill="1" applyBorder="1" applyAlignment="1" applyProtection="1">
      <alignment vertical="center"/>
      <protection/>
    </xf>
    <xf numFmtId="185" fontId="8" fillId="2" borderId="49" xfId="0" applyNumberFormat="1" applyFont="1" applyFill="1" applyBorder="1" applyAlignment="1" applyProtection="1">
      <alignment vertical="center"/>
      <protection/>
    </xf>
    <xf numFmtId="184" fontId="8" fillId="2" borderId="31" xfId="0" applyNumberFormat="1" applyFont="1" applyFill="1" applyBorder="1" applyAlignment="1" applyProtection="1">
      <alignment vertical="center"/>
      <protection/>
    </xf>
    <xf numFmtId="181" fontId="8" fillId="2" borderId="22" xfId="0" applyNumberFormat="1" applyFont="1" applyFill="1" applyBorder="1" applyAlignment="1" applyProtection="1">
      <alignment vertical="center"/>
      <protection/>
    </xf>
    <xf numFmtId="184" fontId="8" fillId="2" borderId="22" xfId="0" applyNumberFormat="1" applyFont="1" applyFill="1" applyBorder="1" applyAlignment="1" applyProtection="1">
      <alignment vertical="center"/>
      <protection/>
    </xf>
    <xf numFmtId="181" fontId="8" fillId="2" borderId="22" xfId="0" applyNumberFormat="1" applyFont="1" applyFill="1" applyBorder="1" applyAlignment="1" applyProtection="1">
      <alignment vertical="center"/>
      <protection locked="0"/>
    </xf>
    <xf numFmtId="184" fontId="8" fillId="2" borderId="22" xfId="0" applyNumberFormat="1" applyFont="1" applyFill="1" applyBorder="1" applyAlignment="1" applyProtection="1">
      <alignment vertical="center"/>
      <protection locked="0"/>
    </xf>
    <xf numFmtId="181" fontId="8" fillId="2" borderId="45" xfId="0" applyNumberFormat="1" applyFont="1" applyFill="1" applyBorder="1" applyAlignment="1" applyProtection="1">
      <alignment vertical="center"/>
      <protection/>
    </xf>
    <xf numFmtId="185" fontId="8" fillId="2" borderId="40" xfId="0" applyNumberFormat="1" applyFont="1" applyFill="1" applyBorder="1" applyAlignment="1" applyProtection="1">
      <alignment vertical="center"/>
      <protection/>
    </xf>
    <xf numFmtId="185" fontId="8" fillId="2" borderId="34" xfId="0" applyNumberFormat="1" applyFont="1" applyFill="1" applyBorder="1" applyAlignment="1" applyProtection="1">
      <alignment vertical="center"/>
      <protection/>
    </xf>
    <xf numFmtId="184" fontId="8" fillId="2" borderId="33" xfId="0" applyNumberFormat="1" applyFont="1" applyFill="1" applyBorder="1" applyAlignment="1" applyProtection="1">
      <alignment vertical="center"/>
      <protection/>
    </xf>
    <xf numFmtId="184" fontId="8" fillId="2" borderId="47" xfId="0" applyNumberFormat="1" applyFont="1" applyFill="1" applyBorder="1" applyAlignment="1" applyProtection="1">
      <alignment vertical="center"/>
      <protection/>
    </xf>
    <xf numFmtId="181" fontId="8" fillId="0" borderId="23" xfId="0" applyNumberFormat="1" applyFont="1" applyFill="1" applyBorder="1" applyAlignment="1" applyProtection="1">
      <alignment vertical="center"/>
      <protection/>
    </xf>
    <xf numFmtId="181" fontId="8" fillId="0" borderId="46" xfId="0" applyNumberFormat="1" applyFont="1" applyFill="1" applyBorder="1" applyAlignment="1" applyProtection="1">
      <alignment vertical="center"/>
      <protection/>
    </xf>
    <xf numFmtId="185" fontId="8" fillId="0" borderId="36" xfId="0" applyNumberFormat="1" applyFont="1" applyFill="1" applyBorder="1" applyAlignment="1" applyProtection="1">
      <alignment vertical="center"/>
      <protection/>
    </xf>
    <xf numFmtId="184" fontId="8" fillId="0" borderId="35" xfId="0" applyNumberFormat="1" applyFont="1" applyFill="1" applyBorder="1" applyAlignment="1" applyProtection="1">
      <alignment vertical="center"/>
      <protection/>
    </xf>
    <xf numFmtId="184" fontId="8" fillId="0" borderId="10" xfId="0" applyNumberFormat="1" applyFont="1" applyFill="1" applyBorder="1" applyAlignment="1" applyProtection="1">
      <alignment vertical="center"/>
      <protection/>
    </xf>
    <xf numFmtId="184" fontId="8" fillId="0" borderId="50" xfId="0" applyNumberFormat="1" applyFont="1" applyFill="1" applyBorder="1" applyAlignment="1" applyProtection="1">
      <alignment vertical="center"/>
      <protection/>
    </xf>
    <xf numFmtId="184" fontId="8" fillId="0" borderId="51" xfId="0" applyNumberFormat="1" applyFont="1" applyFill="1" applyBorder="1" applyAlignment="1" applyProtection="1">
      <alignment vertical="center"/>
      <protection/>
    </xf>
    <xf numFmtId="181" fontId="8" fillId="0" borderId="23" xfId="0" applyNumberFormat="1" applyFont="1" applyFill="1" applyBorder="1" applyAlignment="1">
      <alignment horizontal="center" vertical="center" wrapText="1"/>
    </xf>
    <xf numFmtId="184" fontId="8" fillId="0" borderId="15" xfId="0" applyNumberFormat="1" applyFont="1" applyFill="1" applyBorder="1" applyAlignment="1" applyProtection="1">
      <alignment vertical="center"/>
      <protection/>
    </xf>
    <xf numFmtId="184" fontId="8" fillId="0" borderId="13" xfId="0" applyNumberFormat="1" applyFont="1" applyFill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 vertical="center"/>
      <protection locked="0"/>
    </xf>
    <xf numFmtId="184" fontId="8" fillId="0" borderId="13" xfId="0" applyNumberFormat="1" applyFont="1" applyFill="1" applyBorder="1" applyAlignment="1" applyProtection="1">
      <alignment vertical="center"/>
      <protection locked="0"/>
    </xf>
    <xf numFmtId="181" fontId="8" fillId="0" borderId="24" xfId="0" applyNumberFormat="1" applyFont="1" applyFill="1" applyBorder="1" applyAlignment="1" applyProtection="1">
      <alignment vertical="center"/>
      <protection/>
    </xf>
    <xf numFmtId="184" fontId="8" fillId="0" borderId="24" xfId="0" applyNumberFormat="1" applyFont="1" applyFill="1" applyBorder="1" applyAlignment="1" applyProtection="1">
      <alignment vertical="center"/>
      <protection/>
    </xf>
    <xf numFmtId="181" fontId="8" fillId="0" borderId="51" xfId="0" applyNumberFormat="1" applyFont="1" applyFill="1" applyBorder="1" applyAlignment="1" applyProtection="1">
      <alignment vertical="center"/>
      <protection/>
    </xf>
    <xf numFmtId="185" fontId="8" fillId="0" borderId="52" xfId="0" applyNumberFormat="1" applyFont="1" applyFill="1" applyBorder="1" applyAlignment="1" applyProtection="1">
      <alignment vertical="center"/>
      <protection/>
    </xf>
    <xf numFmtId="184" fontId="8" fillId="0" borderId="30" xfId="0" applyNumberFormat="1" applyFont="1" applyFill="1" applyBorder="1" applyAlignment="1" applyProtection="1">
      <alignment vertical="center"/>
      <protection/>
    </xf>
    <xf numFmtId="181" fontId="8" fillId="0" borderId="53" xfId="0" applyNumberFormat="1" applyFont="1" applyFill="1" applyBorder="1" applyAlignment="1" applyProtection="1">
      <alignment vertical="center"/>
      <protection/>
    </xf>
    <xf numFmtId="184" fontId="8" fillId="0" borderId="53" xfId="0" applyNumberFormat="1" applyFont="1" applyFill="1" applyBorder="1" applyAlignment="1" applyProtection="1">
      <alignment vertical="center"/>
      <protection/>
    </xf>
    <xf numFmtId="181" fontId="8" fillId="0" borderId="53" xfId="0" applyNumberFormat="1" applyFont="1" applyFill="1" applyBorder="1" applyAlignment="1" applyProtection="1">
      <alignment vertical="center"/>
      <protection locked="0"/>
    </xf>
    <xf numFmtId="184" fontId="8" fillId="0" borderId="53" xfId="0" applyNumberFormat="1" applyFont="1" applyFill="1" applyBorder="1" applyAlignment="1" applyProtection="1">
      <alignment vertical="center"/>
      <protection locked="0"/>
    </xf>
    <xf numFmtId="181" fontId="8" fillId="0" borderId="50" xfId="0" applyNumberFormat="1" applyFont="1" applyFill="1" applyBorder="1" applyAlignment="1" applyProtection="1">
      <alignment vertical="center"/>
      <protection/>
    </xf>
    <xf numFmtId="185" fontId="8" fillId="0" borderId="54" xfId="0" applyNumberFormat="1" applyFont="1" applyFill="1" applyBorder="1" applyAlignment="1" applyProtection="1">
      <alignment vertical="center"/>
      <protection/>
    </xf>
    <xf numFmtId="184" fontId="8" fillId="0" borderId="55" xfId="0" applyNumberFormat="1" applyFont="1" applyFill="1" applyBorder="1" applyAlignment="1" applyProtection="1">
      <alignment vertical="center"/>
      <protection/>
    </xf>
    <xf numFmtId="181" fontId="8" fillId="2" borderId="40" xfId="0" applyNumberFormat="1" applyFont="1" applyFill="1" applyBorder="1" applyAlignment="1" applyProtection="1">
      <alignment vertical="center"/>
      <protection/>
    </xf>
    <xf numFmtId="181" fontId="8" fillId="2" borderId="41" xfId="0" applyNumberFormat="1" applyFont="1" applyFill="1" applyBorder="1" applyAlignment="1" applyProtection="1">
      <alignment vertical="center"/>
      <protection/>
    </xf>
    <xf numFmtId="181" fontId="8" fillId="2" borderId="42" xfId="0" applyNumberFormat="1" applyFont="1" applyFill="1" applyBorder="1" applyAlignment="1" applyProtection="1">
      <alignment vertical="center"/>
      <protection/>
    </xf>
    <xf numFmtId="181" fontId="8" fillId="0" borderId="56" xfId="0" applyNumberFormat="1" applyFont="1" applyFill="1" applyBorder="1" applyAlignment="1" applyProtection="1">
      <alignment vertical="center"/>
      <protection/>
    </xf>
    <xf numFmtId="181" fontId="8" fillId="0" borderId="41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57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181" fontId="8" fillId="2" borderId="58" xfId="0" applyNumberFormat="1" applyFont="1" applyFill="1" applyBorder="1" applyAlignment="1" applyProtection="1">
      <alignment vertical="center"/>
      <protection/>
    </xf>
    <xf numFmtId="181" fontId="8" fillId="2" borderId="59" xfId="0" applyNumberFormat="1" applyFont="1" applyFill="1" applyBorder="1" applyAlignment="1" applyProtection="1">
      <alignment vertical="center"/>
      <protection/>
    </xf>
    <xf numFmtId="185" fontId="8" fillId="0" borderId="56" xfId="0" applyNumberFormat="1" applyFont="1" applyFill="1" applyBorder="1" applyAlignment="1" applyProtection="1">
      <alignment vertical="center"/>
      <protection/>
    </xf>
    <xf numFmtId="185" fontId="8" fillId="0" borderId="41" xfId="0" applyNumberFormat="1" applyFont="1" applyFill="1" applyBorder="1" applyAlignment="1" applyProtection="1">
      <alignment vertical="center"/>
      <protection/>
    </xf>
    <xf numFmtId="185" fontId="8" fillId="0" borderId="57" xfId="0" applyNumberFormat="1" applyFont="1" applyFill="1" applyBorder="1" applyAlignment="1" applyProtection="1">
      <alignment vertical="center"/>
      <protection/>
    </xf>
    <xf numFmtId="181" fontId="8" fillId="3" borderId="23" xfId="0" applyNumberFormat="1" applyFont="1" applyFill="1" applyBorder="1" applyAlignment="1">
      <alignment vertical="center"/>
    </xf>
    <xf numFmtId="181" fontId="8" fillId="3" borderId="25" xfId="0" applyNumberFormat="1" applyFont="1" applyFill="1" applyBorder="1" applyAlignment="1">
      <alignment horizontal="center" vertical="center"/>
    </xf>
    <xf numFmtId="184" fontId="8" fillId="3" borderId="31" xfId="0" applyNumberFormat="1" applyFont="1" applyFill="1" applyBorder="1" applyAlignment="1">
      <alignment horizontal="center" vertical="center"/>
    </xf>
    <xf numFmtId="184" fontId="8" fillId="3" borderId="23" xfId="0" applyNumberFormat="1" applyFont="1" applyFill="1" applyBorder="1" applyAlignment="1" applyProtection="1">
      <alignment vertical="center"/>
      <protection locked="0"/>
    </xf>
    <xf numFmtId="184" fontId="8" fillId="3" borderId="35" xfId="0" applyNumberFormat="1" applyFont="1" applyFill="1" applyBorder="1" applyAlignment="1">
      <alignment vertical="center"/>
    </xf>
    <xf numFmtId="184" fontId="8" fillId="3" borderId="25" xfId="0" applyNumberFormat="1" applyFont="1" applyFill="1" applyBorder="1" applyAlignment="1" applyProtection="1">
      <alignment vertical="center"/>
      <protection locked="0"/>
    </xf>
    <xf numFmtId="181" fontId="8" fillId="3" borderId="13" xfId="0" applyNumberFormat="1" applyFont="1" applyFill="1" applyBorder="1" applyAlignment="1">
      <alignment vertical="center"/>
    </xf>
    <xf numFmtId="184" fontId="8" fillId="3" borderId="14" xfId="0" applyNumberFormat="1" applyFont="1" applyFill="1" applyBorder="1" applyAlignment="1">
      <alignment vertical="center"/>
    </xf>
    <xf numFmtId="181" fontId="8" fillId="0" borderId="60" xfId="0" applyNumberFormat="1" applyFont="1" applyFill="1" applyBorder="1" applyAlignment="1" applyProtection="1">
      <alignment vertical="center"/>
      <protection locked="0"/>
    </xf>
    <xf numFmtId="184" fontId="8" fillId="3" borderId="13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85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3" xfId="0" applyNumberFormat="1" applyFont="1" applyFill="1" applyBorder="1" applyAlignment="1">
      <alignment vertical="center"/>
    </xf>
    <xf numFmtId="181" fontId="8" fillId="0" borderId="14" xfId="0" applyNumberFormat="1" applyFont="1" applyFill="1" applyBorder="1" applyAlignment="1">
      <alignment horizontal="centerContinuous" vertical="center" wrapText="1"/>
    </xf>
    <xf numFmtId="181" fontId="8" fillId="0" borderId="48" xfId="0" applyNumberFormat="1" applyFont="1" applyFill="1" applyBorder="1" applyAlignment="1">
      <alignment horizontal="centerContinuous" vertical="center" wrapText="1"/>
    </xf>
    <xf numFmtId="184" fontId="8" fillId="0" borderId="14" xfId="0" applyNumberFormat="1" applyFont="1" applyFill="1" applyBorder="1" applyAlignment="1">
      <alignment vertical="center"/>
    </xf>
    <xf numFmtId="181" fontId="8" fillId="3" borderId="53" xfId="0" applyNumberFormat="1" applyFont="1" applyFill="1" applyBorder="1" applyAlignment="1">
      <alignment horizontal="center" vertical="center"/>
    </xf>
    <xf numFmtId="184" fontId="8" fillId="3" borderId="55" xfId="0" applyNumberFormat="1" applyFont="1" applyFill="1" applyBorder="1" applyAlignment="1">
      <alignment horizontal="center" vertical="center"/>
    </xf>
    <xf numFmtId="181" fontId="8" fillId="0" borderId="61" xfId="0" applyNumberFormat="1" applyFont="1" applyFill="1" applyBorder="1" applyAlignment="1" applyProtection="1">
      <alignment vertical="center"/>
      <protection locked="0"/>
    </xf>
    <xf numFmtId="184" fontId="8" fillId="3" borderId="53" xfId="0" applyNumberFormat="1" applyFont="1" applyFill="1" applyBorder="1" applyAlignment="1" applyProtection="1">
      <alignment vertical="center"/>
      <protection locked="0"/>
    </xf>
    <xf numFmtId="181" fontId="8" fillId="0" borderId="50" xfId="0" applyNumberFormat="1" applyFont="1" applyFill="1" applyBorder="1" applyAlignment="1" applyProtection="1">
      <alignment vertical="center"/>
      <protection locked="0"/>
    </xf>
    <xf numFmtId="185" fontId="8" fillId="0" borderId="56" xfId="0" applyNumberFormat="1" applyFont="1" applyFill="1" applyBorder="1" applyAlignment="1" applyProtection="1">
      <alignment vertical="center"/>
      <protection locked="0"/>
    </xf>
    <xf numFmtId="181" fontId="8" fillId="0" borderId="55" xfId="0" applyNumberFormat="1" applyFont="1" applyFill="1" applyBorder="1" applyAlignment="1">
      <alignment horizontal="center" vertical="center" wrapText="1"/>
    </xf>
    <xf numFmtId="184" fontId="8" fillId="0" borderId="62" xfId="0" applyNumberFormat="1" applyFont="1" applyFill="1" applyBorder="1" applyAlignment="1">
      <alignment vertical="center"/>
    </xf>
    <xf numFmtId="185" fontId="8" fillId="0" borderId="63" xfId="0" applyNumberFormat="1" applyFont="1" applyFill="1" applyBorder="1" applyAlignment="1" applyProtection="1">
      <alignment vertical="center"/>
      <protection locked="0"/>
    </xf>
    <xf numFmtId="181" fontId="8" fillId="0" borderId="62" xfId="0" applyNumberFormat="1" applyFont="1" applyFill="1" applyBorder="1" applyAlignment="1">
      <alignment horizontal="centerContinuous" vertical="center" wrapText="1"/>
    </xf>
    <xf numFmtId="181" fontId="8" fillId="3" borderId="13" xfId="0" applyNumberFormat="1" applyFont="1" applyFill="1" applyBorder="1" applyAlignment="1" applyProtection="1">
      <alignment vertical="center"/>
      <protection/>
    </xf>
    <xf numFmtId="181" fontId="8" fillId="3" borderId="23" xfId="0" applyNumberFormat="1" applyFont="1" applyFill="1" applyBorder="1" applyAlignment="1" applyProtection="1">
      <alignment vertical="center"/>
      <protection/>
    </xf>
    <xf numFmtId="184" fontId="8" fillId="3" borderId="46" xfId="0" applyNumberFormat="1" applyFont="1" applyFill="1" applyBorder="1" applyAlignment="1" applyProtection="1">
      <alignment vertical="center"/>
      <protection/>
    </xf>
    <xf numFmtId="184" fontId="8" fillId="3" borderId="23" xfId="0" applyNumberFormat="1" applyFont="1" applyFill="1" applyBorder="1" applyAlignment="1" applyProtection="1">
      <alignment vertical="center"/>
      <protection/>
    </xf>
    <xf numFmtId="179" fontId="8" fillId="2" borderId="1" xfId="0" applyNumberFormat="1" applyFont="1" applyFill="1" applyBorder="1" applyAlignment="1" applyProtection="1">
      <alignment vertical="center"/>
      <protection/>
    </xf>
    <xf numFmtId="179" fontId="8" fillId="2" borderId="23" xfId="0" applyNumberFormat="1" applyFont="1" applyFill="1" applyBorder="1" applyAlignment="1" applyProtection="1">
      <alignment vertical="center"/>
      <protection/>
    </xf>
    <xf numFmtId="179" fontId="8" fillId="2" borderId="20" xfId="0" applyNumberFormat="1" applyFont="1" applyFill="1" applyBorder="1" applyAlignment="1" applyProtection="1">
      <alignment vertical="center"/>
      <protection/>
    </xf>
    <xf numFmtId="179" fontId="8" fillId="0" borderId="53" xfId="0" applyNumberFormat="1" applyFont="1" applyFill="1" applyBorder="1" applyAlignment="1" applyProtection="1">
      <alignment vertical="center"/>
      <protection/>
    </xf>
    <xf numFmtId="179" fontId="8" fillId="0" borderId="23" xfId="0" applyNumberFormat="1" applyFont="1" applyFill="1" applyBorder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/>
    </xf>
    <xf numFmtId="179" fontId="8" fillId="0" borderId="24" xfId="0" applyNumberFormat="1" applyFont="1" applyFill="1" applyBorder="1" applyAlignment="1" applyProtection="1">
      <alignment vertical="center"/>
      <protection/>
    </xf>
    <xf numFmtId="179" fontId="8" fillId="0" borderId="8" xfId="0" applyNumberFormat="1" applyFont="1" applyFill="1" applyBorder="1" applyAlignment="1" applyProtection="1">
      <alignment vertical="center"/>
      <protection/>
    </xf>
    <xf numFmtId="179" fontId="8" fillId="2" borderId="22" xfId="0" applyNumberFormat="1" applyFont="1" applyFill="1" applyBorder="1" applyAlignment="1" applyProtection="1">
      <alignment vertical="center"/>
      <protection/>
    </xf>
    <xf numFmtId="179" fontId="8" fillId="2" borderId="25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Alignment="1">
      <alignment vertical="center"/>
    </xf>
    <xf numFmtId="187" fontId="8" fillId="2" borderId="22" xfId="0" applyNumberFormat="1" applyFont="1" applyFill="1" applyBorder="1" applyAlignment="1" applyProtection="1">
      <alignment vertical="center"/>
      <protection/>
    </xf>
    <xf numFmtId="187" fontId="8" fillId="2" borderId="23" xfId="0" applyNumberFormat="1" applyFont="1" applyFill="1" applyBorder="1" applyAlignment="1" applyProtection="1">
      <alignment vertical="center"/>
      <protection/>
    </xf>
    <xf numFmtId="187" fontId="8" fillId="2" borderId="25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7" fontId="8" fillId="0" borderId="23" xfId="0" applyNumberFormat="1" applyFont="1" applyFill="1" applyBorder="1" applyAlignment="1" applyProtection="1">
      <alignment vertical="center"/>
      <protection/>
    </xf>
    <xf numFmtId="187" fontId="8" fillId="0" borderId="13" xfId="0" applyNumberFormat="1" applyFont="1" applyFill="1" applyBorder="1" applyAlignment="1" applyProtection="1">
      <alignment vertical="center"/>
      <protection/>
    </xf>
    <xf numFmtId="187" fontId="8" fillId="0" borderId="24" xfId="0" applyNumberFormat="1" applyFont="1" applyFill="1" applyBorder="1" applyAlignment="1" applyProtection="1">
      <alignment vertical="center"/>
      <protection/>
    </xf>
    <xf numFmtId="187" fontId="8" fillId="0" borderId="8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Alignment="1">
      <alignment vertical="center"/>
    </xf>
    <xf numFmtId="181" fontId="8" fillId="3" borderId="53" xfId="0" applyNumberFormat="1" applyFont="1" applyFill="1" applyBorder="1" applyAlignment="1" applyProtection="1">
      <alignment vertical="center"/>
      <protection/>
    </xf>
    <xf numFmtId="181" fontId="8" fillId="3" borderId="17" xfId="0" applyNumberFormat="1" applyFont="1" applyFill="1" applyBorder="1" applyAlignment="1" applyProtection="1">
      <alignment vertical="center"/>
      <protection/>
    </xf>
    <xf numFmtId="184" fontId="8" fillId="3" borderId="62" xfId="0" applyNumberFormat="1" applyFont="1" applyFill="1" applyBorder="1" applyAlignment="1">
      <alignment vertical="center"/>
    </xf>
    <xf numFmtId="184" fontId="8" fillId="3" borderId="17" xfId="0" applyNumberFormat="1" applyFon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>
      <alignment vertical="center"/>
    </xf>
    <xf numFmtId="188" fontId="8" fillId="0" borderId="12" xfId="0" applyNumberFormat="1" applyFont="1" applyFill="1" applyBorder="1" applyAlignment="1">
      <alignment horizontal="center" vertical="center" wrapText="1"/>
    </xf>
    <xf numFmtId="188" fontId="8" fillId="0" borderId="4" xfId="0" applyNumberFormat="1" applyFont="1" applyFill="1" applyBorder="1" applyAlignment="1">
      <alignment horizontal="center" vertical="center" wrapText="1"/>
    </xf>
    <xf numFmtId="188" fontId="8" fillId="0" borderId="40" xfId="0" applyNumberFormat="1" applyFont="1" applyFill="1" applyBorder="1" applyAlignment="1" applyProtection="1">
      <alignment vertical="center"/>
      <protection locked="0"/>
    </xf>
    <xf numFmtId="188" fontId="8" fillId="0" borderId="41" xfId="0" applyNumberFormat="1" applyFont="1" applyFill="1" applyBorder="1" applyAlignment="1" applyProtection="1">
      <alignment vertical="center"/>
      <protection locked="0"/>
    </xf>
    <xf numFmtId="188" fontId="8" fillId="0" borderId="16" xfId="0" applyNumberFormat="1" applyFont="1" applyFill="1" applyBorder="1" applyAlignment="1" applyProtection="1">
      <alignment vertical="center"/>
      <protection locked="0"/>
    </xf>
    <xf numFmtId="188" fontId="8" fillId="0" borderId="17" xfId="0" applyNumberFormat="1" applyFont="1" applyFill="1" applyBorder="1" applyAlignment="1" applyProtection="1">
      <alignment vertical="center"/>
      <protection/>
    </xf>
    <xf numFmtId="188" fontId="8" fillId="0" borderId="56" xfId="0" applyNumberFormat="1" applyFont="1" applyFill="1" applyBorder="1" applyAlignment="1" applyProtection="1">
      <alignment vertical="center"/>
      <protection locked="0"/>
    </xf>
    <xf numFmtId="188" fontId="8" fillId="0" borderId="42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horizontal="center" vertical="center" wrapText="1"/>
    </xf>
    <xf numFmtId="179" fontId="8" fillId="0" borderId="26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53" xfId="0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>
      <alignment horizontal="right" vertical="center"/>
    </xf>
    <xf numFmtId="184" fontId="8" fillId="3" borderId="55" xfId="0" applyNumberFormat="1" applyFont="1" applyFill="1" applyBorder="1" applyAlignment="1">
      <alignment vertical="center"/>
    </xf>
    <xf numFmtId="184" fontId="8" fillId="3" borderId="31" xfId="0" applyNumberFormat="1" applyFont="1" applyFill="1" applyBorder="1" applyAlignment="1">
      <alignment vertical="center"/>
    </xf>
    <xf numFmtId="184" fontId="8" fillId="0" borderId="55" xfId="0" applyNumberFormat="1" applyFont="1" applyFill="1" applyBorder="1" applyAlignment="1">
      <alignment vertical="center"/>
    </xf>
    <xf numFmtId="184" fontId="8" fillId="0" borderId="5" xfId="0" applyNumberFormat="1" applyFont="1" applyFill="1" applyBorder="1" applyAlignment="1">
      <alignment vertical="center"/>
    </xf>
    <xf numFmtId="184" fontId="8" fillId="0" borderId="22" xfId="0" applyNumberFormat="1" applyFont="1" applyFill="1" applyBorder="1" applyAlignment="1">
      <alignment vertical="center"/>
    </xf>
    <xf numFmtId="184" fontId="8" fillId="0" borderId="3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2" xfId="0" applyNumberFormat="1" applyFont="1" applyFill="1" applyBorder="1" applyAlignment="1" applyProtection="1">
      <alignment vertical="center"/>
      <protection locked="0"/>
    </xf>
    <xf numFmtId="179" fontId="8" fillId="0" borderId="23" xfId="0" applyNumberFormat="1" applyFont="1" applyFill="1" applyBorder="1" applyAlignment="1" applyProtection="1">
      <alignment vertical="center"/>
      <protection locked="0"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79" fontId="8" fillId="0" borderId="53" xfId="0" applyNumberFormat="1" applyFont="1" applyFill="1" applyBorder="1" applyAlignment="1" applyProtection="1">
      <alignment horizontal="right" vertical="center"/>
      <protection locked="0"/>
    </xf>
    <xf numFmtId="179" fontId="8" fillId="0" borderId="25" xfId="0" applyNumberFormat="1" applyFont="1" applyFill="1" applyBorder="1" applyAlignment="1" applyProtection="1">
      <alignment horizontal="right" vertical="center"/>
      <protection locked="0"/>
    </xf>
    <xf numFmtId="179" fontId="8" fillId="0" borderId="23" xfId="0" applyNumberFormat="1" applyFont="1" applyFill="1" applyBorder="1" applyAlignment="1" applyProtection="1">
      <alignment horizontal="right" vertical="center"/>
      <protection locked="0"/>
    </xf>
    <xf numFmtId="179" fontId="8" fillId="0" borderId="13" xfId="0" applyNumberFormat="1" applyFont="1" applyFill="1" applyBorder="1" applyAlignment="1" applyProtection="1">
      <alignment horizontal="right" vertical="center"/>
      <protection locked="0"/>
    </xf>
    <xf numFmtId="181" fontId="8" fillId="0" borderId="53" xfId="0" applyNumberFormat="1" applyFont="1" applyFill="1" applyBorder="1" applyAlignment="1">
      <alignment vertical="center"/>
    </xf>
    <xf numFmtId="181" fontId="8" fillId="3" borderId="22" xfId="0" applyNumberFormat="1" applyFont="1" applyFill="1" applyBorder="1" applyAlignment="1">
      <alignment vertical="center"/>
    </xf>
    <xf numFmtId="181" fontId="8" fillId="3" borderId="66" xfId="0" applyNumberFormat="1" applyFont="1" applyFill="1" applyBorder="1" applyAlignment="1">
      <alignment vertical="center"/>
    </xf>
    <xf numFmtId="181" fontId="8" fillId="3" borderId="67" xfId="0" applyNumberFormat="1" applyFont="1" applyFill="1" applyBorder="1" applyAlignment="1">
      <alignment vertical="center"/>
    </xf>
    <xf numFmtId="181" fontId="8" fillId="3" borderId="68" xfId="0" applyNumberFormat="1" applyFont="1" applyFill="1" applyBorder="1" applyAlignment="1">
      <alignment vertical="center"/>
    </xf>
    <xf numFmtId="181" fontId="8" fillId="3" borderId="17" xfId="0" applyNumberFormat="1" applyFont="1" applyFill="1" applyBorder="1" applyAlignment="1">
      <alignment vertical="center"/>
    </xf>
    <xf numFmtId="181" fontId="8" fillId="3" borderId="69" xfId="0" applyNumberFormat="1" applyFont="1" applyFill="1" applyBorder="1" applyAlignment="1">
      <alignment vertical="center"/>
    </xf>
    <xf numFmtId="181" fontId="8" fillId="3" borderId="53" xfId="0" applyNumberFormat="1" applyFont="1" applyFill="1" applyBorder="1" applyAlignment="1">
      <alignment vertical="center"/>
    </xf>
    <xf numFmtId="181" fontId="8" fillId="3" borderId="70" xfId="0" applyNumberFormat="1" applyFont="1" applyFill="1" applyBorder="1" applyAlignment="1">
      <alignment vertical="center"/>
    </xf>
    <xf numFmtId="181" fontId="8" fillId="3" borderId="25" xfId="0" applyNumberFormat="1" applyFont="1" applyFill="1" applyBorder="1" applyAlignment="1">
      <alignment vertical="center"/>
    </xf>
    <xf numFmtId="181" fontId="8" fillId="3" borderId="71" xfId="0" applyNumberFormat="1" applyFont="1" applyFill="1" applyBorder="1" applyAlignment="1">
      <alignment vertical="center"/>
    </xf>
    <xf numFmtId="181" fontId="8" fillId="3" borderId="72" xfId="0" applyNumberFormat="1" applyFont="1" applyFill="1" applyBorder="1" applyAlignment="1">
      <alignment vertical="center"/>
    </xf>
    <xf numFmtId="187" fontId="8" fillId="0" borderId="70" xfId="0" applyNumberFormat="1" applyFont="1" applyFill="1" applyBorder="1" applyAlignment="1">
      <alignment vertical="center"/>
    </xf>
    <xf numFmtId="187" fontId="8" fillId="0" borderId="72" xfId="0" applyNumberFormat="1" applyFont="1" applyFill="1" applyBorder="1" applyAlignment="1">
      <alignment vertical="center"/>
    </xf>
    <xf numFmtId="187" fontId="8" fillId="0" borderId="73" xfId="0" applyNumberFormat="1" applyFont="1" applyFill="1" applyBorder="1" applyAlignment="1">
      <alignment vertical="center"/>
    </xf>
    <xf numFmtId="181" fontId="8" fillId="3" borderId="40" xfId="0" applyNumberFormat="1" applyFont="1" applyFill="1" applyBorder="1" applyAlignment="1">
      <alignment vertical="center"/>
    </xf>
    <xf numFmtId="181" fontId="8" fillId="3" borderId="41" xfId="0" applyNumberFormat="1" applyFont="1" applyFill="1" applyBorder="1" applyAlignment="1">
      <alignment vertical="center"/>
    </xf>
    <xf numFmtId="181" fontId="8" fillId="0" borderId="8" xfId="0" applyNumberFormat="1" applyFont="1" applyFill="1" applyBorder="1" applyAlignment="1">
      <alignment vertical="center"/>
    </xf>
    <xf numFmtId="181" fontId="8" fillId="3" borderId="24" xfId="0" applyNumberFormat="1" applyFont="1" applyFill="1" applyBorder="1" applyAlignment="1">
      <alignment vertical="center"/>
    </xf>
    <xf numFmtId="184" fontId="8" fillId="3" borderId="66" xfId="0" applyNumberFormat="1" applyFont="1" applyFill="1" applyBorder="1" applyAlignment="1">
      <alignment vertical="center"/>
    </xf>
    <xf numFmtId="184" fontId="8" fillId="3" borderId="67" xfId="0" applyNumberFormat="1" applyFont="1" applyFill="1" applyBorder="1" applyAlignment="1">
      <alignment vertical="center"/>
    </xf>
    <xf numFmtId="184" fontId="8" fillId="3" borderId="74" xfId="0" applyNumberFormat="1" applyFont="1" applyFill="1" applyBorder="1" applyAlignment="1">
      <alignment vertical="center"/>
    </xf>
    <xf numFmtId="184" fontId="8" fillId="3" borderId="70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184" fontId="8" fillId="2" borderId="76" xfId="0" applyNumberFormat="1" applyFont="1" applyFill="1" applyBorder="1" applyAlignment="1" applyProtection="1">
      <alignment vertical="center"/>
      <protection/>
    </xf>
    <xf numFmtId="184" fontId="8" fillId="0" borderId="77" xfId="0" applyNumberFormat="1" applyFont="1" applyFill="1" applyBorder="1" applyAlignment="1" applyProtection="1">
      <alignment vertical="center"/>
      <protection/>
    </xf>
    <xf numFmtId="0" fontId="8" fillId="0" borderId="7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85" fontId="8" fillId="0" borderId="20" xfId="0" applyNumberFormat="1" applyFont="1" applyFill="1" applyBorder="1" applyAlignment="1">
      <alignment horizontal="center" vertical="center" wrapText="1"/>
    </xf>
    <xf numFmtId="184" fontId="8" fillId="0" borderId="27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vertical="center"/>
    </xf>
    <xf numFmtId="181" fontId="8" fillId="0" borderId="79" xfId="0" applyNumberFormat="1" applyFont="1" applyFill="1" applyBorder="1" applyAlignment="1">
      <alignment horizontal="center" vertical="center" wrapText="1"/>
    </xf>
    <xf numFmtId="181" fontId="8" fillId="0" borderId="80" xfId="0" applyNumberFormat="1" applyFont="1" applyFill="1" applyBorder="1" applyAlignment="1">
      <alignment horizontal="center" vertical="center"/>
    </xf>
    <xf numFmtId="181" fontId="8" fillId="0" borderId="79" xfId="0" applyNumberFormat="1" applyFont="1" applyFill="1" applyBorder="1" applyAlignment="1">
      <alignment horizontal="center" vertical="center"/>
    </xf>
    <xf numFmtId="181" fontId="8" fillId="0" borderId="80" xfId="0" applyNumberFormat="1" applyFont="1" applyFill="1" applyBorder="1" applyAlignment="1">
      <alignment horizontal="center" vertical="center" wrapText="1"/>
    </xf>
    <xf numFmtId="181" fontId="8" fillId="0" borderId="81" xfId="0" applyNumberFormat="1" applyFont="1" applyFill="1" applyBorder="1" applyAlignment="1">
      <alignment horizontal="center" vertical="center" wrapText="1"/>
    </xf>
    <xf numFmtId="181" fontId="8" fillId="2" borderId="82" xfId="0" applyNumberFormat="1" applyFont="1" applyFill="1" applyBorder="1" applyAlignment="1">
      <alignment horizontal="center" vertical="center" wrapText="1"/>
    </xf>
    <xf numFmtId="181" fontId="8" fillId="2" borderId="79" xfId="0" applyNumberFormat="1" applyFont="1" applyFill="1" applyBorder="1" applyAlignment="1">
      <alignment horizontal="center" vertical="center" wrapText="1"/>
    </xf>
    <xf numFmtId="181" fontId="8" fillId="2" borderId="83" xfId="0" applyNumberFormat="1" applyFont="1" applyFill="1" applyBorder="1" applyAlignment="1">
      <alignment horizontal="center" vertical="center" wrapText="1"/>
    </xf>
    <xf numFmtId="181" fontId="8" fillId="0" borderId="81" xfId="0" applyNumberFormat="1" applyFont="1" applyFill="1" applyBorder="1" applyAlignment="1">
      <alignment horizontal="center" vertical="center"/>
    </xf>
    <xf numFmtId="181" fontId="8" fillId="0" borderId="84" xfId="0" applyNumberFormat="1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181" fontId="8" fillId="0" borderId="85" xfId="0" applyNumberFormat="1" applyFont="1" applyFill="1" applyBorder="1" applyAlignment="1">
      <alignment horizontal="center" vertical="center"/>
    </xf>
    <xf numFmtId="181" fontId="8" fillId="0" borderId="87" xfId="0" applyNumberFormat="1" applyFont="1" applyFill="1" applyBorder="1" applyAlignment="1">
      <alignment horizontal="center" vertical="center"/>
    </xf>
    <xf numFmtId="181" fontId="8" fillId="0" borderId="88" xfId="0" applyNumberFormat="1" applyFont="1" applyFill="1" applyBorder="1" applyAlignment="1">
      <alignment horizontal="center" vertical="center"/>
    </xf>
    <xf numFmtId="181" fontId="8" fillId="0" borderId="89" xfId="0" applyNumberFormat="1" applyFont="1" applyFill="1" applyBorder="1" applyAlignment="1">
      <alignment horizontal="center" vertical="center"/>
    </xf>
    <xf numFmtId="181" fontId="8" fillId="0" borderId="90" xfId="0" applyNumberFormat="1" applyFont="1" applyFill="1" applyBorder="1" applyAlignment="1">
      <alignment horizontal="center" vertical="center"/>
    </xf>
    <xf numFmtId="181" fontId="8" fillId="0" borderId="91" xfId="0" applyNumberFormat="1" applyFont="1" applyFill="1" applyBorder="1" applyAlignment="1">
      <alignment horizontal="center" vertical="center"/>
    </xf>
    <xf numFmtId="181" fontId="8" fillId="0" borderId="92" xfId="0" applyNumberFormat="1" applyFont="1" applyFill="1" applyBorder="1" applyAlignment="1">
      <alignment horizontal="center" vertical="center"/>
    </xf>
    <xf numFmtId="181" fontId="8" fillId="0" borderId="93" xfId="0" applyNumberFormat="1" applyFont="1" applyFill="1" applyBorder="1" applyAlignment="1">
      <alignment horizontal="center" vertical="center"/>
    </xf>
    <xf numFmtId="181" fontId="8" fillId="0" borderId="94" xfId="0" applyNumberFormat="1" applyFont="1" applyFill="1" applyBorder="1" applyAlignment="1">
      <alignment horizontal="center" vertical="center"/>
    </xf>
    <xf numFmtId="181" fontId="8" fillId="2" borderId="82" xfId="0" applyNumberFormat="1" applyFont="1" applyFill="1" applyBorder="1" applyAlignment="1">
      <alignment horizontal="center" vertical="center"/>
    </xf>
    <xf numFmtId="181" fontId="8" fillId="2" borderId="80" xfId="0" applyNumberFormat="1" applyFont="1" applyFill="1" applyBorder="1" applyAlignment="1">
      <alignment horizontal="center" vertical="center"/>
    </xf>
    <xf numFmtId="181" fontId="8" fillId="2" borderId="83" xfId="0" applyNumberFormat="1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185" fontId="8" fillId="0" borderId="95" xfId="0" applyNumberFormat="1" applyFont="1" applyFill="1" applyBorder="1" applyAlignment="1">
      <alignment horizontal="center" vertical="center" wrapText="1"/>
    </xf>
    <xf numFmtId="185" fontId="8" fillId="0" borderId="87" xfId="0" applyNumberFormat="1" applyFont="1" applyFill="1" applyBorder="1" applyAlignment="1">
      <alignment horizontal="center" vertical="center" wrapText="1"/>
    </xf>
    <xf numFmtId="185" fontId="8" fillId="0" borderId="86" xfId="0" applyNumberFormat="1" applyFont="1" applyFill="1" applyBorder="1" applyAlignment="1">
      <alignment horizontal="center" vertical="center" wrapText="1"/>
    </xf>
    <xf numFmtId="181" fontId="8" fillId="0" borderId="84" xfId="0" applyNumberFormat="1" applyFont="1" applyFill="1" applyBorder="1" applyAlignment="1">
      <alignment horizontal="center" vertical="center" textRotation="255" wrapText="1"/>
    </xf>
    <xf numFmtId="181" fontId="8" fillId="0" borderId="96" xfId="0" applyNumberFormat="1" applyFont="1" applyFill="1" applyBorder="1" applyAlignment="1">
      <alignment horizontal="center" vertical="center" textRotation="255" wrapText="1"/>
    </xf>
    <xf numFmtId="181" fontId="8" fillId="0" borderId="97" xfId="0" applyNumberFormat="1" applyFont="1" applyFill="1" applyBorder="1" applyAlignment="1">
      <alignment horizontal="center" vertical="center" textRotation="255" wrapText="1"/>
    </xf>
    <xf numFmtId="181" fontId="8" fillId="0" borderId="84" xfId="0" applyNumberFormat="1" applyFont="1" applyFill="1" applyBorder="1" applyAlignment="1">
      <alignment vertical="center" textRotation="255"/>
    </xf>
    <xf numFmtId="181" fontId="8" fillId="0" borderId="96" xfId="0" applyNumberFormat="1" applyFont="1" applyFill="1" applyBorder="1" applyAlignment="1">
      <alignment vertical="center" textRotation="255"/>
    </xf>
    <xf numFmtId="0" fontId="8" fillId="0" borderId="9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H19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"/>
      <sheetName val="旧岡山市"/>
      <sheetName val="旧御津町"/>
      <sheetName val="旧灘崎町"/>
      <sheetName val="旧建部町"/>
      <sheetName val="旧瀬戸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9"/>
  <sheetViews>
    <sheetView view="pageBreakPreview" zoomScale="125" zoomScaleSheetLayoutView="125" workbookViewId="0" topLeftCell="A1">
      <pane xSplit="2" ySplit="4" topLeftCell="D5" activePane="bottomRight" state="frozen"/>
      <selection pane="topLeft" activeCell="F35" sqref="F35"/>
      <selection pane="topRight" activeCell="F35" sqref="F35"/>
      <selection pane="bottomLeft" activeCell="F35" sqref="F35"/>
      <selection pane="bottomRight" activeCell="B28" sqref="B28"/>
    </sheetView>
  </sheetViews>
  <sheetFormatPr defaultColWidth="9.00390625" defaultRowHeight="9.75" customHeight="1"/>
  <cols>
    <col min="1" max="1" width="8.625" style="4" customWidth="1"/>
    <col min="2" max="2" width="14.875" style="48" bestFit="1" customWidth="1"/>
    <col min="3" max="3" width="7.625" style="4" customWidth="1"/>
    <col min="4" max="4" width="6.625" style="4" customWidth="1"/>
    <col min="5" max="5" width="6.125" style="5" customWidth="1"/>
    <col min="6" max="6" width="6.125" style="4" customWidth="1"/>
    <col min="7" max="7" width="4.625" style="5" customWidth="1"/>
    <col min="8" max="8" width="5.625" style="4" customWidth="1"/>
    <col min="9" max="9" width="5.625" style="5" customWidth="1"/>
    <col min="10" max="10" width="6.125" style="4" customWidth="1"/>
    <col min="11" max="11" width="5.625" style="5" customWidth="1"/>
    <col min="12" max="14" width="6.125" style="4" customWidth="1"/>
    <col min="15" max="15" width="7.125" style="4" customWidth="1"/>
    <col min="16" max="16" width="5.625" style="4" customWidth="1"/>
    <col min="17" max="17" width="6.125" style="4" customWidth="1"/>
    <col min="18" max="20" width="5.625" style="6" customWidth="1"/>
    <col min="21" max="21" width="5.625" style="5" customWidth="1"/>
    <col min="22" max="23" width="6.125" style="4" customWidth="1"/>
    <col min="24" max="24" width="7.25390625" style="5" bestFit="1" customWidth="1"/>
    <col min="25" max="25" width="6.00390625" style="4" customWidth="1"/>
    <col min="26" max="26" width="7.00390625" style="4" bestFit="1" customWidth="1"/>
    <col min="27" max="29" width="11.625" style="4" customWidth="1"/>
    <col min="30" max="16384" width="9.00390625" style="4" customWidth="1"/>
  </cols>
  <sheetData>
    <row r="1" spans="1:2" ht="15" customHeight="1" thickBot="1">
      <c r="A1" s="49" t="s">
        <v>103</v>
      </c>
      <c r="B1" s="42"/>
    </row>
    <row r="2" spans="1:26" ht="9.75" customHeight="1">
      <c r="A2" s="312"/>
      <c r="B2" s="313"/>
      <c r="C2" s="7"/>
      <c r="D2" s="7"/>
      <c r="E2" s="8"/>
      <c r="F2" s="321" t="s">
        <v>47</v>
      </c>
      <c r="G2" s="322"/>
      <c r="H2" s="322"/>
      <c r="I2" s="323"/>
      <c r="J2" s="324" t="s">
        <v>48</v>
      </c>
      <c r="K2" s="323"/>
      <c r="L2" s="324" t="s">
        <v>49</v>
      </c>
      <c r="M2" s="322"/>
      <c r="N2" s="322"/>
      <c r="O2" s="323"/>
      <c r="P2" s="9"/>
      <c r="Q2" s="10"/>
      <c r="R2" s="325" t="s">
        <v>96</v>
      </c>
      <c r="S2" s="326"/>
      <c r="T2" s="327"/>
      <c r="U2" s="11"/>
      <c r="V2" s="307" t="s">
        <v>0</v>
      </c>
      <c r="W2" s="308"/>
      <c r="X2" s="309" t="s">
        <v>110</v>
      </c>
      <c r="Y2" s="310"/>
      <c r="Z2" s="311"/>
    </row>
    <row r="3" spans="1:26" ht="30" customHeight="1">
      <c r="A3" s="314"/>
      <c r="B3" s="315"/>
      <c r="C3" s="12" t="s">
        <v>113</v>
      </c>
      <c r="D3" s="12" t="s">
        <v>50</v>
      </c>
      <c r="E3" s="13" t="s">
        <v>51</v>
      </c>
      <c r="F3" s="14" t="s">
        <v>52</v>
      </c>
      <c r="G3" s="15" t="s">
        <v>53</v>
      </c>
      <c r="H3" s="16" t="s">
        <v>54</v>
      </c>
      <c r="I3" s="15" t="s">
        <v>55</v>
      </c>
      <c r="J3" s="12" t="s">
        <v>52</v>
      </c>
      <c r="K3" s="15" t="s">
        <v>53</v>
      </c>
      <c r="L3" s="12" t="s">
        <v>56</v>
      </c>
      <c r="M3" s="12" t="s">
        <v>57</v>
      </c>
      <c r="N3" s="12" t="s">
        <v>58</v>
      </c>
      <c r="O3" s="12" t="s">
        <v>59</v>
      </c>
      <c r="P3" s="12" t="s">
        <v>60</v>
      </c>
      <c r="Q3" s="17" t="s">
        <v>61</v>
      </c>
      <c r="R3" s="18" t="s">
        <v>62</v>
      </c>
      <c r="S3" s="102" t="s">
        <v>91</v>
      </c>
      <c r="T3" s="18" t="s">
        <v>100</v>
      </c>
      <c r="U3" s="13" t="s">
        <v>63</v>
      </c>
      <c r="V3" s="19" t="s">
        <v>64</v>
      </c>
      <c r="W3" s="103" t="s">
        <v>65</v>
      </c>
      <c r="X3" s="15" t="s">
        <v>97</v>
      </c>
      <c r="Y3" s="286" t="s">
        <v>106</v>
      </c>
      <c r="Z3" s="287" t="s">
        <v>53</v>
      </c>
    </row>
    <row r="4" spans="1:26" ht="9.75" customHeight="1" thickBot="1">
      <c r="A4" s="316"/>
      <c r="B4" s="317"/>
      <c r="C4" s="50" t="s">
        <v>66</v>
      </c>
      <c r="D4" s="51" t="s">
        <v>67</v>
      </c>
      <c r="E4" s="63" t="s">
        <v>68</v>
      </c>
      <c r="F4" s="290" t="s">
        <v>69</v>
      </c>
      <c r="G4" s="64" t="s">
        <v>70</v>
      </c>
      <c r="H4" s="291" t="s">
        <v>71</v>
      </c>
      <c r="I4" s="64" t="s">
        <v>72</v>
      </c>
      <c r="J4" s="292" t="s">
        <v>73</v>
      </c>
      <c r="K4" s="65" t="s">
        <v>74</v>
      </c>
      <c r="L4" s="292"/>
      <c r="M4" s="292" t="s">
        <v>75</v>
      </c>
      <c r="N4" s="292"/>
      <c r="O4" s="292"/>
      <c r="P4" s="292"/>
      <c r="Q4" s="52"/>
      <c r="R4" s="70" t="s">
        <v>76</v>
      </c>
      <c r="S4" s="293" t="s">
        <v>92</v>
      </c>
      <c r="T4" s="64" t="s">
        <v>93</v>
      </c>
      <c r="U4" s="294" t="s">
        <v>77</v>
      </c>
      <c r="V4" s="295" t="s">
        <v>94</v>
      </c>
      <c r="W4" s="64" t="s">
        <v>95</v>
      </c>
      <c r="X4" s="64" t="s">
        <v>109</v>
      </c>
      <c r="Y4" s="285" t="s">
        <v>107</v>
      </c>
      <c r="Z4" s="252" t="s">
        <v>108</v>
      </c>
    </row>
    <row r="5" spans="1:26" ht="9.75">
      <c r="A5" s="318" t="s">
        <v>46</v>
      </c>
      <c r="B5" s="43" t="s">
        <v>78</v>
      </c>
      <c r="C5" s="20">
        <f>SUM(C17,C23,C35,C47,C56,C74,C80,C86,C95,C110,C125)</f>
        <v>719741</v>
      </c>
      <c r="D5" s="20">
        <f>SUM(D17,D23,D35,D47,D56,D74,D80,D86,D95,D110,D125)</f>
        <v>305346</v>
      </c>
      <c r="E5" s="104">
        <f aca="true" t="shared" si="0" ref="E5:E35">D5/C5*100</f>
        <v>42.424427676066806</v>
      </c>
      <c r="F5" s="20">
        <f>SUM(F17,F23,F35,F47,F56,F74,F80,F86,F95,F110,F125)</f>
        <v>39459</v>
      </c>
      <c r="G5" s="123">
        <f aca="true" t="shared" si="1" ref="G5:G10">F5/D5*100</f>
        <v>12.922717179854985</v>
      </c>
      <c r="H5" s="124">
        <f aca="true" t="shared" si="2" ref="H5:H13">SUM(L5:Q5)</f>
        <v>1987</v>
      </c>
      <c r="I5" s="125">
        <f aca="true" t="shared" si="3" ref="I5:I10">H5/F5*100</f>
        <v>5.0356065789807145</v>
      </c>
      <c r="J5" s="124">
        <f aca="true" t="shared" si="4" ref="J5:J13">SUM(L5:O5)</f>
        <v>1625</v>
      </c>
      <c r="K5" s="125">
        <f aca="true" t="shared" si="5" ref="K5:K10">J5/H5*100</f>
        <v>81.78158027176649</v>
      </c>
      <c r="L5" s="20">
        <f aca="true" t="shared" si="6" ref="L5:Q7">SUM(L17,L23,L35,L47,L56,L74,L80,L86,L95,L110,L125)</f>
        <v>530</v>
      </c>
      <c r="M5" s="20">
        <f t="shared" si="6"/>
        <v>69</v>
      </c>
      <c r="N5" s="20">
        <f t="shared" si="6"/>
        <v>0</v>
      </c>
      <c r="O5" s="20">
        <f t="shared" si="6"/>
        <v>1026</v>
      </c>
      <c r="P5" s="20">
        <f t="shared" si="6"/>
        <v>225</v>
      </c>
      <c r="Q5" s="21">
        <f t="shared" si="6"/>
        <v>137</v>
      </c>
      <c r="R5" s="127">
        <f aca="true" t="shared" si="7" ref="R5:R36">M5/F5*100</f>
        <v>0.17486504979852505</v>
      </c>
      <c r="S5" s="198">
        <f>SUM(S17,S23,S35,S47,S56,S74,S80,S86,S95,S110,S125)</f>
        <v>29</v>
      </c>
      <c r="T5" s="128">
        <f aca="true" t="shared" si="8" ref="T5:T36">S5/F5*100</f>
        <v>0.07349400643706126</v>
      </c>
      <c r="U5" s="129">
        <f aca="true" t="shared" si="9" ref="U5:U36">M5/J5*100</f>
        <v>4.246153846153846</v>
      </c>
      <c r="V5" s="20">
        <f>SUM(V17,V23,V35,V47,V56,V74,V80,V86,V95,V110,V125)</f>
        <v>10604</v>
      </c>
      <c r="W5" s="209">
        <f aca="true" t="shared" si="10" ref="W5:W36">V5/F5*100</f>
        <v>26.873463595124054</v>
      </c>
      <c r="X5" s="198">
        <f>SUM(X17,X23,X35,X47,X56,X74,X80,X86,X95,X110,X125)</f>
        <v>23761</v>
      </c>
      <c r="Y5" s="277"/>
      <c r="Z5" s="281"/>
    </row>
    <row r="6" spans="1:26" ht="9.75">
      <c r="A6" s="319"/>
      <c r="B6" s="105" t="s">
        <v>98</v>
      </c>
      <c r="C6" s="195"/>
      <c r="D6" s="195"/>
      <c r="E6" s="196"/>
      <c r="F6" s="106">
        <f>SUM(F18,F24,F36,F48,F57,F75,F81,F87,F96,F111,F126)</f>
        <v>338</v>
      </c>
      <c r="G6" s="197"/>
      <c r="H6" s="107">
        <f t="shared" si="2"/>
        <v>13</v>
      </c>
      <c r="I6" s="108">
        <f t="shared" si="3"/>
        <v>3.8461538461538463</v>
      </c>
      <c r="J6" s="107">
        <f t="shared" si="4"/>
        <v>13</v>
      </c>
      <c r="K6" s="108">
        <f t="shared" si="5"/>
        <v>100</v>
      </c>
      <c r="L6" s="106">
        <f t="shared" si="6"/>
        <v>7</v>
      </c>
      <c r="M6" s="106">
        <f t="shared" si="6"/>
        <v>0</v>
      </c>
      <c r="N6" s="106">
        <f t="shared" si="6"/>
        <v>0</v>
      </c>
      <c r="O6" s="106">
        <f t="shared" si="6"/>
        <v>6</v>
      </c>
      <c r="P6" s="106">
        <f t="shared" si="6"/>
        <v>0</v>
      </c>
      <c r="Q6" s="109">
        <f t="shared" si="6"/>
        <v>0</v>
      </c>
      <c r="R6" s="110">
        <f t="shared" si="7"/>
        <v>0</v>
      </c>
      <c r="S6" s="199">
        <f>SUM(S18,S24,S36,S48,S57,S75,S81,S87,S96,S111,S126)</f>
        <v>0</v>
      </c>
      <c r="T6" s="111">
        <f t="shared" si="8"/>
        <v>0</v>
      </c>
      <c r="U6" s="112">
        <f t="shared" si="9"/>
        <v>0</v>
      </c>
      <c r="V6" s="106">
        <f>SUM(V18,V24,V36,V48,V57,V75,V81,V87,V96,V111,V126)</f>
        <v>85</v>
      </c>
      <c r="W6" s="210">
        <f t="shared" si="10"/>
        <v>25.14792899408284</v>
      </c>
      <c r="X6" s="199">
        <f>SUM(X18,X24,X36,X48,X57,X75,X81,X87,X96,X111,X126)</f>
        <v>48</v>
      </c>
      <c r="Y6" s="278"/>
      <c r="Z6" s="282"/>
    </row>
    <row r="7" spans="1:26" ht="10.5" thickBot="1">
      <c r="A7" s="320"/>
      <c r="B7" s="113" t="s">
        <v>99</v>
      </c>
      <c r="C7" s="40">
        <f>SUM(C19,C25,C37,C49,C58,C76,C82,C88,C97,C112,C127)</f>
        <v>586060</v>
      </c>
      <c r="D7" s="40">
        <f>SUM(D19,D25,D37,D49,D58,D76,D82,D88,D97,D112,D127)</f>
        <v>253152</v>
      </c>
      <c r="E7" s="130">
        <f t="shared" si="0"/>
        <v>43.19557724465072</v>
      </c>
      <c r="F7" s="40">
        <f>SUM(F19,F25,F37,F49,F58,F76,F82,F88,F97,F112,F127)</f>
        <v>25369</v>
      </c>
      <c r="G7" s="115">
        <f t="shared" si="1"/>
        <v>10.021252054101884</v>
      </c>
      <c r="H7" s="116">
        <f t="shared" si="2"/>
        <v>1733</v>
      </c>
      <c r="I7" s="117">
        <f t="shared" si="3"/>
        <v>6.831171902715913</v>
      </c>
      <c r="J7" s="116">
        <f t="shared" si="4"/>
        <v>1395</v>
      </c>
      <c r="K7" s="117">
        <f t="shared" si="5"/>
        <v>80.49624927870744</v>
      </c>
      <c r="L7" s="40">
        <f t="shared" si="6"/>
        <v>544</v>
      </c>
      <c r="M7" s="40">
        <f t="shared" si="6"/>
        <v>49</v>
      </c>
      <c r="N7" s="40">
        <f t="shared" si="6"/>
        <v>4</v>
      </c>
      <c r="O7" s="40">
        <f t="shared" si="6"/>
        <v>798</v>
      </c>
      <c r="P7" s="40">
        <f t="shared" si="6"/>
        <v>92</v>
      </c>
      <c r="Q7" s="41">
        <f t="shared" si="6"/>
        <v>246</v>
      </c>
      <c r="R7" s="119">
        <f t="shared" si="7"/>
        <v>0.1931491190035082</v>
      </c>
      <c r="S7" s="200">
        <f>SUM(S19,S25,S37,S49,S58,S76,S82,S88,S97,S112,S127)</f>
        <v>24</v>
      </c>
      <c r="T7" s="120">
        <f t="shared" si="8"/>
        <v>0.09460365012416729</v>
      </c>
      <c r="U7" s="121">
        <f t="shared" si="9"/>
        <v>3.512544802867384</v>
      </c>
      <c r="V7" s="40">
        <f>SUM(V19,V25,V37,V49,V58,V76,V82,V88,V97,V112,V127)</f>
        <v>9954</v>
      </c>
      <c r="W7" s="211">
        <f t="shared" si="10"/>
        <v>39.236863888998386</v>
      </c>
      <c r="X7" s="200">
        <f>SUM(X19,X25,X37,X49,X58,X76,X82,X88,X97,X112,X127)</f>
        <v>11508</v>
      </c>
      <c r="Y7" s="207">
        <f>SUM(Y19,Y25,Y37,Y49,Y58,Y76,Y82,Y88,Y97,Y112,Y127)</f>
        <v>23123</v>
      </c>
      <c r="Z7" s="288">
        <f>(F7+Y7-X7)/D7*100</f>
        <v>14.609404626469471</v>
      </c>
    </row>
    <row r="8" spans="1:26" ht="9.75">
      <c r="A8" s="300" t="s">
        <v>80</v>
      </c>
      <c r="B8" s="44" t="s">
        <v>78</v>
      </c>
      <c r="C8" s="22">
        <f>52049+188408</f>
        <v>240457</v>
      </c>
      <c r="D8" s="148">
        <f>24000+26800</f>
        <v>50800</v>
      </c>
      <c r="E8" s="136">
        <f t="shared" si="0"/>
        <v>21.126438406866924</v>
      </c>
      <c r="F8" s="158">
        <v>18727</v>
      </c>
      <c r="G8" s="149">
        <f t="shared" si="1"/>
        <v>36.86417322834646</v>
      </c>
      <c r="H8" s="150">
        <f t="shared" si="2"/>
        <v>927</v>
      </c>
      <c r="I8" s="151">
        <f t="shared" si="3"/>
        <v>4.950072088428472</v>
      </c>
      <c r="J8" s="150">
        <f t="shared" si="4"/>
        <v>721</v>
      </c>
      <c r="K8" s="151">
        <f t="shared" si="5"/>
        <v>77.77777777777779</v>
      </c>
      <c r="L8" s="148">
        <v>135</v>
      </c>
      <c r="M8" s="148">
        <v>27</v>
      </c>
      <c r="N8" s="148">
        <v>0</v>
      </c>
      <c r="O8" s="148">
        <v>559</v>
      </c>
      <c r="P8" s="148">
        <v>178</v>
      </c>
      <c r="Q8" s="152">
        <v>28</v>
      </c>
      <c r="R8" s="165">
        <f t="shared" si="7"/>
        <v>0.1441768569445186</v>
      </c>
      <c r="S8" s="201">
        <v>14</v>
      </c>
      <c r="T8" s="153">
        <f t="shared" si="8"/>
        <v>0.07475837026752817</v>
      </c>
      <c r="U8" s="154">
        <f t="shared" si="9"/>
        <v>3.744798890429958</v>
      </c>
      <c r="V8" s="148">
        <v>4797</v>
      </c>
      <c r="W8" s="212">
        <f t="shared" si="10"/>
        <v>25.61542158380947</v>
      </c>
      <c r="X8" s="201">
        <v>11867</v>
      </c>
      <c r="Y8" s="263"/>
      <c r="Z8" s="281"/>
    </row>
    <row r="9" spans="1:26" ht="9.75">
      <c r="A9" s="297"/>
      <c r="B9" s="138" t="s">
        <v>101</v>
      </c>
      <c r="C9" s="194"/>
      <c r="D9" s="195"/>
      <c r="E9" s="196"/>
      <c r="F9" s="159">
        <v>0</v>
      </c>
      <c r="G9" s="197"/>
      <c r="H9" s="60">
        <f t="shared" si="2"/>
        <v>0</v>
      </c>
      <c r="I9" s="67" t="e">
        <f t="shared" si="3"/>
        <v>#DIV/0!</v>
      </c>
      <c r="J9" s="60">
        <f t="shared" si="4"/>
        <v>0</v>
      </c>
      <c r="K9" s="67" t="e">
        <f t="shared" si="5"/>
        <v>#DIV/0!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2">
        <v>0</v>
      </c>
      <c r="R9" s="166" t="e">
        <f t="shared" si="7"/>
        <v>#DIV/0!</v>
      </c>
      <c r="S9" s="202">
        <v>0</v>
      </c>
      <c r="T9" s="133" t="e">
        <f t="shared" si="8"/>
        <v>#DIV/0!</v>
      </c>
      <c r="U9" s="134" t="e">
        <f t="shared" si="9"/>
        <v>#DIV/0!</v>
      </c>
      <c r="V9" s="131">
        <v>0</v>
      </c>
      <c r="W9" s="213" t="e">
        <f t="shared" si="10"/>
        <v>#DIV/0!</v>
      </c>
      <c r="X9" s="202">
        <v>0</v>
      </c>
      <c r="Y9" s="168"/>
      <c r="Z9" s="282"/>
    </row>
    <row r="10" spans="1:26" ht="9.75">
      <c r="A10" s="297"/>
      <c r="B10" s="47" t="s">
        <v>99</v>
      </c>
      <c r="C10" s="23">
        <v>188408</v>
      </c>
      <c r="D10" s="31">
        <v>26800</v>
      </c>
      <c r="E10" s="139">
        <f t="shared" si="0"/>
        <v>14.224449067980128</v>
      </c>
      <c r="F10" s="160">
        <v>3228</v>
      </c>
      <c r="G10" s="140">
        <f t="shared" si="1"/>
        <v>12.044776119402984</v>
      </c>
      <c r="H10" s="141">
        <f t="shared" si="2"/>
        <v>312</v>
      </c>
      <c r="I10" s="142">
        <f t="shared" si="3"/>
        <v>9.66542750929368</v>
      </c>
      <c r="J10" s="141">
        <f t="shared" si="4"/>
        <v>260</v>
      </c>
      <c r="K10" s="142">
        <f t="shared" si="5"/>
        <v>83.33333333333334</v>
      </c>
      <c r="L10" s="31">
        <v>84</v>
      </c>
      <c r="M10" s="31">
        <v>9</v>
      </c>
      <c r="N10" s="31">
        <v>0</v>
      </c>
      <c r="O10" s="31">
        <v>167</v>
      </c>
      <c r="P10" s="31">
        <v>51</v>
      </c>
      <c r="Q10" s="33">
        <v>1</v>
      </c>
      <c r="R10" s="34">
        <f t="shared" si="7"/>
        <v>0.2788104089219331</v>
      </c>
      <c r="S10" s="203">
        <v>0</v>
      </c>
      <c r="T10" s="101">
        <f t="shared" si="8"/>
        <v>0</v>
      </c>
      <c r="U10" s="32">
        <f t="shared" si="9"/>
        <v>3.4615384615384617</v>
      </c>
      <c r="V10" s="31">
        <v>2771</v>
      </c>
      <c r="W10" s="214">
        <f t="shared" si="10"/>
        <v>85.84262701363073</v>
      </c>
      <c r="X10" s="203">
        <v>8</v>
      </c>
      <c r="Y10" s="180">
        <v>1763</v>
      </c>
      <c r="Z10" s="289">
        <f>(F10+Y10-X10)/D10*100</f>
        <v>18.59328358208955</v>
      </c>
    </row>
    <row r="11" spans="1:26" ht="9.75">
      <c r="A11" s="301" t="s">
        <v>81</v>
      </c>
      <c r="B11" s="46" t="s">
        <v>78</v>
      </c>
      <c r="C11" s="30">
        <f>1036+3137</f>
        <v>4173</v>
      </c>
      <c r="D11" s="143">
        <f>85+989</f>
        <v>1074</v>
      </c>
      <c r="E11" s="137">
        <f t="shared" si="0"/>
        <v>25.736879942487416</v>
      </c>
      <c r="F11" s="161">
        <v>294</v>
      </c>
      <c r="G11" s="144">
        <f>F11/D11*100</f>
        <v>27.37430167597765</v>
      </c>
      <c r="H11" s="61">
        <f t="shared" si="2"/>
        <v>24</v>
      </c>
      <c r="I11" s="68">
        <f>H11/F11*100</f>
        <v>8.16326530612245</v>
      </c>
      <c r="J11" s="61">
        <f t="shared" si="4"/>
        <v>21</v>
      </c>
      <c r="K11" s="68">
        <f aca="true" t="shared" si="11" ref="K11:K19">J11/H11*100</f>
        <v>87.5</v>
      </c>
      <c r="L11" s="143">
        <v>9</v>
      </c>
      <c r="M11" s="143">
        <v>2</v>
      </c>
      <c r="N11" s="143">
        <v>0</v>
      </c>
      <c r="O11" s="143">
        <v>10</v>
      </c>
      <c r="P11" s="143">
        <v>0</v>
      </c>
      <c r="Q11" s="145">
        <v>3</v>
      </c>
      <c r="R11" s="167">
        <f t="shared" si="7"/>
        <v>0.6802721088435374</v>
      </c>
      <c r="S11" s="204">
        <v>0</v>
      </c>
      <c r="T11" s="146">
        <f t="shared" si="8"/>
        <v>0</v>
      </c>
      <c r="U11" s="147">
        <f t="shared" si="9"/>
        <v>9.523809523809524</v>
      </c>
      <c r="V11" s="143">
        <v>48</v>
      </c>
      <c r="W11" s="215">
        <f t="shared" si="10"/>
        <v>16.3265306122449</v>
      </c>
      <c r="X11" s="204">
        <v>270</v>
      </c>
      <c r="Y11" s="280"/>
      <c r="Z11" s="284"/>
    </row>
    <row r="12" spans="1:26" ht="9.75">
      <c r="A12" s="306"/>
      <c r="B12" s="138" t="s">
        <v>101</v>
      </c>
      <c r="C12" s="194"/>
      <c r="D12" s="195"/>
      <c r="E12" s="196"/>
      <c r="F12" s="159">
        <v>0</v>
      </c>
      <c r="G12" s="197"/>
      <c r="H12" s="60">
        <f t="shared" si="2"/>
        <v>0</v>
      </c>
      <c r="I12" s="67" t="e">
        <f>H12/F12*100</f>
        <v>#DIV/0!</v>
      </c>
      <c r="J12" s="60">
        <f t="shared" si="4"/>
        <v>0</v>
      </c>
      <c r="K12" s="67" t="e">
        <f t="shared" si="11"/>
        <v>#DIV/0!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2">
        <v>0</v>
      </c>
      <c r="R12" s="166" t="e">
        <f t="shared" si="7"/>
        <v>#DIV/0!</v>
      </c>
      <c r="S12" s="202">
        <v>0</v>
      </c>
      <c r="T12" s="133" t="e">
        <f t="shared" si="8"/>
        <v>#DIV/0!</v>
      </c>
      <c r="U12" s="134" t="e">
        <f t="shared" si="9"/>
        <v>#DIV/0!</v>
      </c>
      <c r="V12" s="131">
        <v>0</v>
      </c>
      <c r="W12" s="213" t="e">
        <f t="shared" si="10"/>
        <v>#DIV/0!</v>
      </c>
      <c r="X12" s="202">
        <v>0</v>
      </c>
      <c r="Y12" s="168"/>
      <c r="Z12" s="282"/>
    </row>
    <row r="13" spans="1:26" ht="9.75">
      <c r="A13" s="300"/>
      <c r="B13" s="45" t="s">
        <v>99</v>
      </c>
      <c r="C13" s="23">
        <v>3137</v>
      </c>
      <c r="D13" s="23">
        <v>989</v>
      </c>
      <c r="E13" s="135">
        <f t="shared" si="0"/>
        <v>31.526936563595793</v>
      </c>
      <c r="F13" s="162">
        <v>121</v>
      </c>
      <c r="G13" s="25">
        <f>F13/D13*100</f>
        <v>12.234580384226492</v>
      </c>
      <c r="H13" s="26">
        <f t="shared" si="2"/>
        <v>12</v>
      </c>
      <c r="I13" s="27">
        <f>H13/F13*100</f>
        <v>9.917355371900827</v>
      </c>
      <c r="J13" s="26">
        <f t="shared" si="4"/>
        <v>8</v>
      </c>
      <c r="K13" s="27">
        <f t="shared" si="11"/>
        <v>66.66666666666666</v>
      </c>
      <c r="L13" s="23">
        <v>3</v>
      </c>
      <c r="M13" s="23">
        <v>0</v>
      </c>
      <c r="N13" s="23">
        <v>0</v>
      </c>
      <c r="O13" s="23">
        <v>5</v>
      </c>
      <c r="P13" s="23">
        <v>0</v>
      </c>
      <c r="Q13" s="28">
        <v>4</v>
      </c>
      <c r="R13" s="29">
        <f t="shared" si="7"/>
        <v>0</v>
      </c>
      <c r="S13" s="205">
        <v>0</v>
      </c>
      <c r="T13" s="100">
        <f t="shared" si="8"/>
        <v>0</v>
      </c>
      <c r="U13" s="24">
        <f t="shared" si="9"/>
        <v>0</v>
      </c>
      <c r="V13" s="23">
        <v>41</v>
      </c>
      <c r="W13" s="216">
        <f t="shared" si="10"/>
        <v>33.88429752066116</v>
      </c>
      <c r="X13" s="205">
        <v>1</v>
      </c>
      <c r="Y13" s="279">
        <v>155</v>
      </c>
      <c r="Z13" s="289">
        <f>(F13+Y13-X13)/D13*100</f>
        <v>27.80586450960566</v>
      </c>
    </row>
    <row r="14" spans="1:26" ht="9.75">
      <c r="A14" s="297" t="s">
        <v>82</v>
      </c>
      <c r="B14" s="46" t="s">
        <v>78</v>
      </c>
      <c r="C14" s="30">
        <f>2453+258</f>
        <v>2711</v>
      </c>
      <c r="D14" s="143">
        <f>36+326</f>
        <v>362</v>
      </c>
      <c r="E14" s="137">
        <f t="shared" si="0"/>
        <v>13.353006270748802</v>
      </c>
      <c r="F14" s="161">
        <v>118</v>
      </c>
      <c r="G14" s="144">
        <f aca="true" t="shared" si="12" ref="G14:G19">F14/D14*100</f>
        <v>32.59668508287293</v>
      </c>
      <c r="H14" s="61">
        <f aca="true" t="shared" si="13" ref="H14:H19">SUM(L14:Q14)</f>
        <v>4</v>
      </c>
      <c r="I14" s="68">
        <f aca="true" t="shared" si="14" ref="I14:I19">H14/F14*100</f>
        <v>3.389830508474576</v>
      </c>
      <c r="J14" s="61">
        <f aca="true" t="shared" si="15" ref="J14:J19">SUM(L14:O14)</f>
        <v>3</v>
      </c>
      <c r="K14" s="68">
        <f t="shared" si="11"/>
        <v>75</v>
      </c>
      <c r="L14" s="143">
        <v>1</v>
      </c>
      <c r="M14" s="143">
        <v>0</v>
      </c>
      <c r="N14" s="143">
        <v>0</v>
      </c>
      <c r="O14" s="143">
        <v>2</v>
      </c>
      <c r="P14" s="143">
        <v>0</v>
      </c>
      <c r="Q14" s="145">
        <v>1</v>
      </c>
      <c r="R14" s="167">
        <f t="shared" si="7"/>
        <v>0</v>
      </c>
      <c r="S14" s="204">
        <v>0</v>
      </c>
      <c r="T14" s="146">
        <f t="shared" si="8"/>
        <v>0</v>
      </c>
      <c r="U14" s="147">
        <f t="shared" si="9"/>
        <v>0</v>
      </c>
      <c r="V14" s="143">
        <v>8</v>
      </c>
      <c r="W14" s="215">
        <f t="shared" si="10"/>
        <v>6.779661016949152</v>
      </c>
      <c r="X14" s="204">
        <v>72</v>
      </c>
      <c r="Y14" s="280"/>
      <c r="Z14" s="283"/>
    </row>
    <row r="15" spans="1:26" ht="9.75">
      <c r="A15" s="297"/>
      <c r="B15" s="138" t="s">
        <v>101</v>
      </c>
      <c r="C15" s="194"/>
      <c r="D15" s="195"/>
      <c r="E15" s="196"/>
      <c r="F15" s="159">
        <v>0</v>
      </c>
      <c r="G15" s="197"/>
      <c r="H15" s="60">
        <f t="shared" si="13"/>
        <v>0</v>
      </c>
      <c r="I15" s="67" t="e">
        <f t="shared" si="14"/>
        <v>#DIV/0!</v>
      </c>
      <c r="J15" s="60">
        <f t="shared" si="15"/>
        <v>0</v>
      </c>
      <c r="K15" s="67" t="e">
        <f t="shared" si="11"/>
        <v>#DIV/0!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2">
        <v>0</v>
      </c>
      <c r="R15" s="166" t="e">
        <f t="shared" si="7"/>
        <v>#DIV/0!</v>
      </c>
      <c r="S15" s="202">
        <v>0</v>
      </c>
      <c r="T15" s="133" t="e">
        <f t="shared" si="8"/>
        <v>#DIV/0!</v>
      </c>
      <c r="U15" s="134" t="e">
        <f t="shared" si="9"/>
        <v>#DIV/0!</v>
      </c>
      <c r="V15" s="131">
        <v>0</v>
      </c>
      <c r="W15" s="213" t="e">
        <f t="shared" si="10"/>
        <v>#DIV/0!</v>
      </c>
      <c r="X15" s="202">
        <v>0</v>
      </c>
      <c r="Y15" s="168"/>
      <c r="Z15" s="282"/>
    </row>
    <row r="16" spans="1:26" ht="10.5" thickBot="1">
      <c r="A16" s="301"/>
      <c r="B16" s="47" t="s">
        <v>99</v>
      </c>
      <c r="C16" s="31">
        <v>2453</v>
      </c>
      <c r="D16" s="31">
        <v>326</v>
      </c>
      <c r="E16" s="139">
        <f t="shared" si="0"/>
        <v>13.289849164288626</v>
      </c>
      <c r="F16" s="160">
        <v>107</v>
      </c>
      <c r="G16" s="140">
        <f t="shared" si="12"/>
        <v>32.82208588957055</v>
      </c>
      <c r="H16" s="141">
        <f t="shared" si="13"/>
        <v>2</v>
      </c>
      <c r="I16" s="142">
        <f t="shared" si="14"/>
        <v>1.8691588785046727</v>
      </c>
      <c r="J16" s="141">
        <f t="shared" si="15"/>
        <v>2</v>
      </c>
      <c r="K16" s="142">
        <f t="shared" si="11"/>
        <v>100</v>
      </c>
      <c r="L16" s="31">
        <v>1</v>
      </c>
      <c r="M16" s="31">
        <v>0</v>
      </c>
      <c r="N16" s="31">
        <v>0</v>
      </c>
      <c r="O16" s="31">
        <v>1</v>
      </c>
      <c r="P16" s="31">
        <v>0</v>
      </c>
      <c r="Q16" s="33">
        <v>0</v>
      </c>
      <c r="R16" s="34">
        <f t="shared" si="7"/>
        <v>0</v>
      </c>
      <c r="S16" s="203">
        <v>0</v>
      </c>
      <c r="T16" s="101">
        <f t="shared" si="8"/>
        <v>0</v>
      </c>
      <c r="U16" s="32">
        <f t="shared" si="9"/>
        <v>0</v>
      </c>
      <c r="V16" s="31">
        <v>16</v>
      </c>
      <c r="W16" s="214">
        <f t="shared" si="10"/>
        <v>14.953271028037381</v>
      </c>
      <c r="X16" s="203">
        <v>56</v>
      </c>
      <c r="Y16" s="279">
        <v>191</v>
      </c>
      <c r="Z16" s="289">
        <f>(F16+Y16-X16)/D16*100</f>
        <v>74.23312883435584</v>
      </c>
    </row>
    <row r="17" spans="1:26" ht="9.75">
      <c r="A17" s="302" t="s">
        <v>36</v>
      </c>
      <c r="B17" s="43" t="s">
        <v>78</v>
      </c>
      <c r="C17" s="20">
        <f aca="true" t="shared" si="16" ref="C17:D19">SUM(C8,C11,C14)</f>
        <v>247341</v>
      </c>
      <c r="D17" s="20">
        <f t="shared" si="16"/>
        <v>52236</v>
      </c>
      <c r="E17" s="104">
        <f t="shared" si="0"/>
        <v>21.119021917110388</v>
      </c>
      <c r="F17" s="163">
        <f>SUM(F8,F11,F14)</f>
        <v>19139</v>
      </c>
      <c r="G17" s="123">
        <f t="shared" si="12"/>
        <v>36.63948234933762</v>
      </c>
      <c r="H17" s="124">
        <f t="shared" si="13"/>
        <v>955</v>
      </c>
      <c r="I17" s="125">
        <f t="shared" si="14"/>
        <v>4.989811379904906</v>
      </c>
      <c r="J17" s="124">
        <f t="shared" si="15"/>
        <v>745</v>
      </c>
      <c r="K17" s="125">
        <f t="shared" si="11"/>
        <v>78.01047120418848</v>
      </c>
      <c r="L17" s="20">
        <f aca="true" t="shared" si="17" ref="L17:Q19">SUM(L8,L11,L14)</f>
        <v>145</v>
      </c>
      <c r="M17" s="20">
        <f t="shared" si="17"/>
        <v>29</v>
      </c>
      <c r="N17" s="20">
        <f t="shared" si="17"/>
        <v>0</v>
      </c>
      <c r="O17" s="20">
        <f t="shared" si="17"/>
        <v>571</v>
      </c>
      <c r="P17" s="20">
        <f t="shared" si="17"/>
        <v>178</v>
      </c>
      <c r="Q17" s="21">
        <f t="shared" si="17"/>
        <v>32</v>
      </c>
      <c r="R17" s="127">
        <f t="shared" si="7"/>
        <v>0.15152306808088198</v>
      </c>
      <c r="S17" s="198">
        <f>SUM(S8,S11,S14)</f>
        <v>14</v>
      </c>
      <c r="T17" s="128">
        <f t="shared" si="8"/>
        <v>0.0731490673493913</v>
      </c>
      <c r="U17" s="129">
        <f t="shared" si="9"/>
        <v>3.8926174496644297</v>
      </c>
      <c r="V17" s="20">
        <f>SUM(V8,V11,V14)</f>
        <v>4853</v>
      </c>
      <c r="W17" s="209">
        <f t="shared" si="10"/>
        <v>25.356601703328284</v>
      </c>
      <c r="X17" s="198">
        <f>SUM(X8,X11,X14)</f>
        <v>12209</v>
      </c>
      <c r="Y17" s="277"/>
      <c r="Z17" s="281"/>
    </row>
    <row r="18" spans="1:26" ht="9.75">
      <c r="A18" s="303"/>
      <c r="B18" s="105" t="s">
        <v>98</v>
      </c>
      <c r="C18" s="195"/>
      <c r="D18" s="195"/>
      <c r="E18" s="196"/>
      <c r="F18" s="156">
        <f>SUM(F9,F12,F15)</f>
        <v>0</v>
      </c>
      <c r="G18" s="197"/>
      <c r="H18" s="107">
        <f t="shared" si="13"/>
        <v>0</v>
      </c>
      <c r="I18" s="108" t="e">
        <f t="shared" si="14"/>
        <v>#DIV/0!</v>
      </c>
      <c r="J18" s="107">
        <f t="shared" si="15"/>
        <v>0</v>
      </c>
      <c r="K18" s="108" t="e">
        <f t="shared" si="11"/>
        <v>#DIV/0!</v>
      </c>
      <c r="L18" s="106">
        <f t="shared" si="17"/>
        <v>0</v>
      </c>
      <c r="M18" s="106">
        <f t="shared" si="17"/>
        <v>0</v>
      </c>
      <c r="N18" s="106">
        <f t="shared" si="17"/>
        <v>0</v>
      </c>
      <c r="O18" s="106">
        <f t="shared" si="17"/>
        <v>0</v>
      </c>
      <c r="P18" s="106">
        <f t="shared" si="17"/>
        <v>0</v>
      </c>
      <c r="Q18" s="109">
        <f t="shared" si="17"/>
        <v>0</v>
      </c>
      <c r="R18" s="110" t="e">
        <f t="shared" si="7"/>
        <v>#DIV/0!</v>
      </c>
      <c r="S18" s="199">
        <f>SUM(S9,S12,S15)</f>
        <v>0</v>
      </c>
      <c r="T18" s="111" t="e">
        <f t="shared" si="8"/>
        <v>#DIV/0!</v>
      </c>
      <c r="U18" s="112" t="e">
        <f t="shared" si="9"/>
        <v>#DIV/0!</v>
      </c>
      <c r="V18" s="106">
        <f>SUM(V9,V12,V15)</f>
        <v>0</v>
      </c>
      <c r="W18" s="210" t="e">
        <f t="shared" si="10"/>
        <v>#DIV/0!</v>
      </c>
      <c r="X18" s="199">
        <f>SUM(X9,X12,X15)</f>
        <v>0</v>
      </c>
      <c r="Y18" s="278"/>
      <c r="Z18" s="282"/>
    </row>
    <row r="19" spans="1:26" ht="10.5" thickBot="1">
      <c r="A19" s="304"/>
      <c r="B19" s="113" t="s">
        <v>99</v>
      </c>
      <c r="C19" s="40">
        <f t="shared" si="16"/>
        <v>193998</v>
      </c>
      <c r="D19" s="40">
        <f t="shared" si="16"/>
        <v>28115</v>
      </c>
      <c r="E19" s="130">
        <f t="shared" si="0"/>
        <v>14.492417447602552</v>
      </c>
      <c r="F19" s="164">
        <f>SUM(F10,F13,F16)</f>
        <v>3456</v>
      </c>
      <c r="G19" s="115">
        <f t="shared" si="12"/>
        <v>12.292370620665126</v>
      </c>
      <c r="H19" s="116">
        <f t="shared" si="13"/>
        <v>326</v>
      </c>
      <c r="I19" s="117">
        <f t="shared" si="14"/>
        <v>9.43287037037037</v>
      </c>
      <c r="J19" s="116">
        <f t="shared" si="15"/>
        <v>270</v>
      </c>
      <c r="K19" s="117">
        <f t="shared" si="11"/>
        <v>82.82208588957054</v>
      </c>
      <c r="L19" s="40">
        <f t="shared" si="17"/>
        <v>88</v>
      </c>
      <c r="M19" s="40">
        <f t="shared" si="17"/>
        <v>9</v>
      </c>
      <c r="N19" s="40">
        <f t="shared" si="17"/>
        <v>0</v>
      </c>
      <c r="O19" s="40">
        <f t="shared" si="17"/>
        <v>173</v>
      </c>
      <c r="P19" s="40">
        <f t="shared" si="17"/>
        <v>51</v>
      </c>
      <c r="Q19" s="41">
        <f t="shared" si="17"/>
        <v>5</v>
      </c>
      <c r="R19" s="119">
        <f t="shared" si="7"/>
        <v>0.26041666666666663</v>
      </c>
      <c r="S19" s="200">
        <f>SUM(S10,S13,S16)</f>
        <v>0</v>
      </c>
      <c r="T19" s="120">
        <f t="shared" si="8"/>
        <v>0</v>
      </c>
      <c r="U19" s="121">
        <f t="shared" si="9"/>
        <v>3.3333333333333335</v>
      </c>
      <c r="V19" s="40">
        <f>SUM(V10,V13,V16)</f>
        <v>2828</v>
      </c>
      <c r="W19" s="211">
        <f t="shared" si="10"/>
        <v>81.82870370370371</v>
      </c>
      <c r="X19" s="200">
        <f>SUM(X10,X13,X16)</f>
        <v>65</v>
      </c>
      <c r="Y19" s="200">
        <f>SUM(Y10,Y13,Y16)</f>
        <v>2109</v>
      </c>
      <c r="Z19" s="288">
        <f>(F19+Y19-X19)/D19*100</f>
        <v>19.562511115063135</v>
      </c>
    </row>
    <row r="20" spans="1:26" ht="9.75">
      <c r="A20" s="300" t="s">
        <v>83</v>
      </c>
      <c r="B20" s="44" t="s">
        <v>78</v>
      </c>
      <c r="C20" s="22">
        <f>35539+132200</f>
        <v>167739</v>
      </c>
      <c r="D20" s="148">
        <f>13385+84636</f>
        <v>98021</v>
      </c>
      <c r="E20" s="136">
        <f t="shared" si="0"/>
        <v>58.43661879467506</v>
      </c>
      <c r="F20" s="158">
        <v>5725</v>
      </c>
      <c r="G20" s="149">
        <f aca="true" t="shared" si="18" ref="G20:G76">F20/D20*100</f>
        <v>5.840585180726579</v>
      </c>
      <c r="H20" s="150">
        <f aca="true" t="shared" si="19" ref="H20:H25">SUM(L20:Q20)</f>
        <v>431</v>
      </c>
      <c r="I20" s="151">
        <f aca="true" t="shared" si="20" ref="I20:I76">H20/F20*100</f>
        <v>7.528384279475983</v>
      </c>
      <c r="J20" s="150">
        <f aca="true" t="shared" si="21" ref="J20:J25">SUM(L20:O20)</f>
        <v>369</v>
      </c>
      <c r="K20" s="151">
        <f aca="true" t="shared" si="22" ref="K20:K74">J20/H20*100</f>
        <v>85.61484918793504</v>
      </c>
      <c r="L20" s="148">
        <v>164</v>
      </c>
      <c r="M20" s="148">
        <v>20</v>
      </c>
      <c r="N20" s="148">
        <v>0</v>
      </c>
      <c r="O20" s="148">
        <v>185</v>
      </c>
      <c r="P20" s="148">
        <v>29</v>
      </c>
      <c r="Q20" s="152">
        <v>33</v>
      </c>
      <c r="R20" s="165">
        <f t="shared" si="7"/>
        <v>0.34934497816593885</v>
      </c>
      <c r="S20" s="201">
        <v>7</v>
      </c>
      <c r="T20" s="153">
        <f t="shared" si="8"/>
        <v>0.12227074235807861</v>
      </c>
      <c r="U20" s="154">
        <f t="shared" si="9"/>
        <v>5.420054200542006</v>
      </c>
      <c r="V20" s="148">
        <v>2593</v>
      </c>
      <c r="W20" s="212">
        <f t="shared" si="10"/>
        <v>45.29257641921397</v>
      </c>
      <c r="X20" s="201">
        <v>2732</v>
      </c>
      <c r="Y20" s="280"/>
      <c r="Z20" s="283"/>
    </row>
    <row r="21" spans="1:26" ht="9.75">
      <c r="A21" s="297"/>
      <c r="B21" s="138" t="s">
        <v>101</v>
      </c>
      <c r="C21" s="194"/>
      <c r="D21" s="195"/>
      <c r="E21" s="196"/>
      <c r="F21" s="159">
        <v>0</v>
      </c>
      <c r="G21" s="197"/>
      <c r="H21" s="60">
        <f t="shared" si="19"/>
        <v>0</v>
      </c>
      <c r="I21" s="67" t="e">
        <f t="shared" si="20"/>
        <v>#DIV/0!</v>
      </c>
      <c r="J21" s="60">
        <f t="shared" si="21"/>
        <v>0</v>
      </c>
      <c r="K21" s="67" t="e">
        <f t="shared" si="22"/>
        <v>#DIV/0!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2">
        <v>0</v>
      </c>
      <c r="R21" s="166" t="e">
        <f t="shared" si="7"/>
        <v>#DIV/0!</v>
      </c>
      <c r="S21" s="202">
        <v>0</v>
      </c>
      <c r="T21" s="133" t="e">
        <f t="shared" si="8"/>
        <v>#DIV/0!</v>
      </c>
      <c r="U21" s="134" t="e">
        <f t="shared" si="9"/>
        <v>#DIV/0!</v>
      </c>
      <c r="V21" s="131">
        <v>0</v>
      </c>
      <c r="W21" s="213" t="e">
        <f t="shared" si="10"/>
        <v>#DIV/0!</v>
      </c>
      <c r="X21" s="202">
        <v>0</v>
      </c>
      <c r="Y21" s="168"/>
      <c r="Z21" s="282"/>
    </row>
    <row r="22" spans="1:26" ht="10.5" thickBot="1">
      <c r="A22" s="301"/>
      <c r="B22" s="47" t="s">
        <v>99</v>
      </c>
      <c r="C22" s="31">
        <v>132200</v>
      </c>
      <c r="D22" s="31">
        <v>84636</v>
      </c>
      <c r="E22" s="139">
        <f t="shared" si="0"/>
        <v>64.02118003025718</v>
      </c>
      <c r="F22" s="160">
        <v>5861</v>
      </c>
      <c r="G22" s="140">
        <f t="shared" si="18"/>
        <v>6.924949194196323</v>
      </c>
      <c r="H22" s="141">
        <f t="shared" si="19"/>
        <v>331</v>
      </c>
      <c r="I22" s="142">
        <f t="shared" si="20"/>
        <v>5.647500426548371</v>
      </c>
      <c r="J22" s="141">
        <f t="shared" si="21"/>
        <v>295</v>
      </c>
      <c r="K22" s="142">
        <f t="shared" si="22"/>
        <v>89.12386706948641</v>
      </c>
      <c r="L22" s="31">
        <v>107</v>
      </c>
      <c r="M22" s="31">
        <v>10</v>
      </c>
      <c r="N22" s="31">
        <v>0</v>
      </c>
      <c r="O22" s="31">
        <v>178</v>
      </c>
      <c r="P22" s="31">
        <v>17</v>
      </c>
      <c r="Q22" s="33">
        <v>19</v>
      </c>
      <c r="R22" s="34">
        <f t="shared" si="7"/>
        <v>0.17061934823408975</v>
      </c>
      <c r="S22" s="203">
        <v>8</v>
      </c>
      <c r="T22" s="101">
        <f t="shared" si="8"/>
        <v>0.13649547858727182</v>
      </c>
      <c r="U22" s="32">
        <f t="shared" si="9"/>
        <v>3.389830508474576</v>
      </c>
      <c r="V22" s="31">
        <v>2448</v>
      </c>
      <c r="W22" s="214">
        <f t="shared" si="10"/>
        <v>41.767616447705166</v>
      </c>
      <c r="X22" s="203">
        <v>2621</v>
      </c>
      <c r="Y22" s="279">
        <v>5476</v>
      </c>
      <c r="Z22" s="289">
        <f>(F22+Y22-X22)/D22*100</f>
        <v>10.298218252280353</v>
      </c>
    </row>
    <row r="23" spans="1:26" ht="9.75">
      <c r="A23" s="302" t="s">
        <v>37</v>
      </c>
      <c r="B23" s="43" t="s">
        <v>78</v>
      </c>
      <c r="C23" s="20">
        <f aca="true" t="shared" si="23" ref="C23:D25">C20</f>
        <v>167739</v>
      </c>
      <c r="D23" s="20">
        <f t="shared" si="23"/>
        <v>98021</v>
      </c>
      <c r="E23" s="104">
        <f t="shared" si="0"/>
        <v>58.43661879467506</v>
      </c>
      <c r="F23" s="163">
        <f>F20</f>
        <v>5725</v>
      </c>
      <c r="G23" s="123">
        <f t="shared" si="18"/>
        <v>5.840585180726579</v>
      </c>
      <c r="H23" s="124">
        <f t="shared" si="19"/>
        <v>431</v>
      </c>
      <c r="I23" s="125">
        <f t="shared" si="20"/>
        <v>7.528384279475983</v>
      </c>
      <c r="J23" s="124">
        <f t="shared" si="21"/>
        <v>369</v>
      </c>
      <c r="K23" s="125">
        <f t="shared" si="22"/>
        <v>85.61484918793504</v>
      </c>
      <c r="L23" s="20">
        <f aca="true" t="shared" si="24" ref="L23:Q23">L20</f>
        <v>164</v>
      </c>
      <c r="M23" s="20">
        <f t="shared" si="24"/>
        <v>20</v>
      </c>
      <c r="N23" s="20">
        <f t="shared" si="24"/>
        <v>0</v>
      </c>
      <c r="O23" s="20">
        <f t="shared" si="24"/>
        <v>185</v>
      </c>
      <c r="P23" s="20">
        <f t="shared" si="24"/>
        <v>29</v>
      </c>
      <c r="Q23" s="21">
        <f t="shared" si="24"/>
        <v>33</v>
      </c>
      <c r="R23" s="127">
        <f t="shared" si="7"/>
        <v>0.34934497816593885</v>
      </c>
      <c r="S23" s="198">
        <f>S20</f>
        <v>7</v>
      </c>
      <c r="T23" s="128">
        <f t="shared" si="8"/>
        <v>0.12227074235807861</v>
      </c>
      <c r="U23" s="129">
        <f t="shared" si="9"/>
        <v>5.420054200542006</v>
      </c>
      <c r="V23" s="20">
        <f>V20</f>
        <v>2593</v>
      </c>
      <c r="W23" s="209">
        <f t="shared" si="10"/>
        <v>45.29257641921397</v>
      </c>
      <c r="X23" s="198">
        <f>X20</f>
        <v>2732</v>
      </c>
      <c r="Y23" s="277"/>
      <c r="Z23" s="281"/>
    </row>
    <row r="24" spans="1:26" ht="9.75">
      <c r="A24" s="303"/>
      <c r="B24" s="105" t="s">
        <v>98</v>
      </c>
      <c r="C24" s="195"/>
      <c r="D24" s="195"/>
      <c r="E24" s="196"/>
      <c r="F24" s="156">
        <f>F21</f>
        <v>0</v>
      </c>
      <c r="G24" s="197"/>
      <c r="H24" s="107">
        <f t="shared" si="19"/>
        <v>0</v>
      </c>
      <c r="I24" s="108" t="e">
        <f t="shared" si="20"/>
        <v>#DIV/0!</v>
      </c>
      <c r="J24" s="107">
        <f t="shared" si="21"/>
        <v>0</v>
      </c>
      <c r="K24" s="108" t="e">
        <f t="shared" si="22"/>
        <v>#DIV/0!</v>
      </c>
      <c r="L24" s="106">
        <f aca="true" t="shared" si="25" ref="L24:Q24">L21</f>
        <v>0</v>
      </c>
      <c r="M24" s="106">
        <f t="shared" si="25"/>
        <v>0</v>
      </c>
      <c r="N24" s="106">
        <f t="shared" si="25"/>
        <v>0</v>
      </c>
      <c r="O24" s="106">
        <f t="shared" si="25"/>
        <v>0</v>
      </c>
      <c r="P24" s="106">
        <f t="shared" si="25"/>
        <v>0</v>
      </c>
      <c r="Q24" s="109">
        <f t="shared" si="25"/>
        <v>0</v>
      </c>
      <c r="R24" s="110" t="e">
        <f t="shared" si="7"/>
        <v>#DIV/0!</v>
      </c>
      <c r="S24" s="199">
        <f>S21</f>
        <v>0</v>
      </c>
      <c r="T24" s="111" t="e">
        <f t="shared" si="8"/>
        <v>#DIV/0!</v>
      </c>
      <c r="U24" s="112" t="e">
        <f t="shared" si="9"/>
        <v>#DIV/0!</v>
      </c>
      <c r="V24" s="106">
        <f>V21</f>
        <v>0</v>
      </c>
      <c r="W24" s="210" t="e">
        <f t="shared" si="10"/>
        <v>#DIV/0!</v>
      </c>
      <c r="X24" s="199">
        <f>X21</f>
        <v>0</v>
      </c>
      <c r="Y24" s="278"/>
      <c r="Z24" s="282"/>
    </row>
    <row r="25" spans="1:26" ht="10.5" thickBot="1">
      <c r="A25" s="304"/>
      <c r="B25" s="113" t="s">
        <v>99</v>
      </c>
      <c r="C25" s="40">
        <f t="shared" si="23"/>
        <v>132200</v>
      </c>
      <c r="D25" s="40">
        <f t="shared" si="23"/>
        <v>84636</v>
      </c>
      <c r="E25" s="130">
        <f t="shared" si="0"/>
        <v>64.02118003025718</v>
      </c>
      <c r="F25" s="164">
        <f>F22</f>
        <v>5861</v>
      </c>
      <c r="G25" s="115">
        <f t="shared" si="18"/>
        <v>6.924949194196323</v>
      </c>
      <c r="H25" s="116">
        <f t="shared" si="19"/>
        <v>331</v>
      </c>
      <c r="I25" s="117">
        <f t="shared" si="20"/>
        <v>5.647500426548371</v>
      </c>
      <c r="J25" s="116">
        <f t="shared" si="21"/>
        <v>295</v>
      </c>
      <c r="K25" s="117">
        <f t="shared" si="22"/>
        <v>89.12386706948641</v>
      </c>
      <c r="L25" s="40">
        <f aca="true" t="shared" si="26" ref="L25:Q25">L22</f>
        <v>107</v>
      </c>
      <c r="M25" s="40">
        <f t="shared" si="26"/>
        <v>10</v>
      </c>
      <c r="N25" s="40">
        <f t="shared" si="26"/>
        <v>0</v>
      </c>
      <c r="O25" s="40">
        <f t="shared" si="26"/>
        <v>178</v>
      </c>
      <c r="P25" s="40">
        <f t="shared" si="26"/>
        <v>17</v>
      </c>
      <c r="Q25" s="41">
        <f t="shared" si="26"/>
        <v>19</v>
      </c>
      <c r="R25" s="119">
        <f t="shared" si="7"/>
        <v>0.17061934823408975</v>
      </c>
      <c r="S25" s="200">
        <f>S22</f>
        <v>8</v>
      </c>
      <c r="T25" s="120">
        <f t="shared" si="8"/>
        <v>0.13649547858727182</v>
      </c>
      <c r="U25" s="121">
        <f t="shared" si="9"/>
        <v>3.389830508474576</v>
      </c>
      <c r="V25" s="40">
        <f>V22</f>
        <v>2448</v>
      </c>
      <c r="W25" s="211">
        <f t="shared" si="10"/>
        <v>41.767616447705166</v>
      </c>
      <c r="X25" s="200">
        <f>X22</f>
        <v>2621</v>
      </c>
      <c r="Y25" s="200">
        <f>Y22</f>
        <v>5476</v>
      </c>
      <c r="Z25" s="288">
        <f>(F25+Y25-X25)/D25*100</f>
        <v>10.298218252280353</v>
      </c>
    </row>
    <row r="26" spans="1:26" ht="9.75">
      <c r="A26" s="298" t="s">
        <v>17</v>
      </c>
      <c r="B26" s="44" t="s">
        <v>78</v>
      </c>
      <c r="C26" s="22">
        <f>3972+22085</f>
        <v>26057</v>
      </c>
      <c r="D26" s="148">
        <f>1426+13659</f>
        <v>15085</v>
      </c>
      <c r="E26" s="136">
        <f t="shared" si="0"/>
        <v>57.892313006102</v>
      </c>
      <c r="F26" s="158">
        <v>2355</v>
      </c>
      <c r="G26" s="149">
        <f t="shared" si="18"/>
        <v>15.611534637056678</v>
      </c>
      <c r="H26" s="150">
        <f aca="true" t="shared" si="27" ref="H26:H37">SUM(L26:Q26)</f>
        <v>140</v>
      </c>
      <c r="I26" s="151">
        <f t="shared" si="20"/>
        <v>5.9447983014862</v>
      </c>
      <c r="J26" s="150">
        <f aca="true" t="shared" si="28" ref="J26:J37">SUM(L26:O26)</f>
        <v>134</v>
      </c>
      <c r="K26" s="151">
        <f t="shared" si="22"/>
        <v>95.71428571428572</v>
      </c>
      <c r="L26" s="148">
        <v>29</v>
      </c>
      <c r="M26" s="148">
        <v>3</v>
      </c>
      <c r="N26" s="148">
        <v>0</v>
      </c>
      <c r="O26" s="148">
        <v>102</v>
      </c>
      <c r="P26" s="148">
        <v>3</v>
      </c>
      <c r="Q26" s="152">
        <v>3</v>
      </c>
      <c r="R26" s="165">
        <f t="shared" si="7"/>
        <v>0.12738853503184713</v>
      </c>
      <c r="S26" s="201">
        <v>0</v>
      </c>
      <c r="T26" s="153">
        <f t="shared" si="8"/>
        <v>0</v>
      </c>
      <c r="U26" s="154">
        <f t="shared" si="9"/>
        <v>2.2388059701492535</v>
      </c>
      <c r="V26" s="148">
        <v>463</v>
      </c>
      <c r="W26" s="212">
        <f t="shared" si="10"/>
        <v>19.660297239915074</v>
      </c>
      <c r="X26" s="201">
        <v>1397</v>
      </c>
      <c r="Y26" s="280"/>
      <c r="Z26" s="283"/>
    </row>
    <row r="27" spans="1:26" ht="9.75">
      <c r="A27" s="299"/>
      <c r="B27" s="138" t="s">
        <v>101</v>
      </c>
      <c r="C27" s="194"/>
      <c r="D27" s="195"/>
      <c r="E27" s="196"/>
      <c r="F27" s="159">
        <v>0</v>
      </c>
      <c r="G27" s="197"/>
      <c r="H27" s="60">
        <f t="shared" si="27"/>
        <v>0</v>
      </c>
      <c r="I27" s="67" t="e">
        <f t="shared" si="20"/>
        <v>#DIV/0!</v>
      </c>
      <c r="J27" s="60">
        <f t="shared" si="28"/>
        <v>0</v>
      </c>
      <c r="K27" s="67" t="e">
        <f t="shared" si="22"/>
        <v>#DIV/0!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2">
        <v>0</v>
      </c>
      <c r="R27" s="166" t="e">
        <f t="shared" si="7"/>
        <v>#DIV/0!</v>
      </c>
      <c r="S27" s="202">
        <v>0</v>
      </c>
      <c r="T27" s="133" t="e">
        <f t="shared" si="8"/>
        <v>#DIV/0!</v>
      </c>
      <c r="U27" s="134" t="e">
        <f t="shared" si="9"/>
        <v>#DIV/0!</v>
      </c>
      <c r="V27" s="131">
        <v>0</v>
      </c>
      <c r="W27" s="213" t="e">
        <f t="shared" si="10"/>
        <v>#DIV/0!</v>
      </c>
      <c r="X27" s="202">
        <v>0</v>
      </c>
      <c r="Y27" s="168"/>
      <c r="Z27" s="282"/>
    </row>
    <row r="28" spans="1:26" ht="9.75">
      <c r="A28" s="299"/>
      <c r="B28" s="45" t="s">
        <v>99</v>
      </c>
      <c r="C28" s="23">
        <v>22085</v>
      </c>
      <c r="D28" s="23">
        <v>13659</v>
      </c>
      <c r="E28" s="135">
        <f t="shared" si="0"/>
        <v>61.84740774281187</v>
      </c>
      <c r="F28" s="162">
        <v>675</v>
      </c>
      <c r="G28" s="25">
        <f t="shared" si="18"/>
        <v>4.941796617614759</v>
      </c>
      <c r="H28" s="26">
        <f t="shared" si="27"/>
        <v>11</v>
      </c>
      <c r="I28" s="27">
        <f t="shared" si="20"/>
        <v>1.6296296296296295</v>
      </c>
      <c r="J28" s="26">
        <f t="shared" si="28"/>
        <v>10</v>
      </c>
      <c r="K28" s="27">
        <f t="shared" si="22"/>
        <v>90.9090909090909</v>
      </c>
      <c r="L28" s="23">
        <v>1</v>
      </c>
      <c r="M28" s="23">
        <v>0</v>
      </c>
      <c r="N28" s="23">
        <v>0</v>
      </c>
      <c r="O28" s="23">
        <v>9</v>
      </c>
      <c r="P28" s="23">
        <v>0</v>
      </c>
      <c r="Q28" s="28">
        <v>1</v>
      </c>
      <c r="R28" s="29">
        <f t="shared" si="7"/>
        <v>0</v>
      </c>
      <c r="S28" s="205">
        <v>0</v>
      </c>
      <c r="T28" s="100">
        <f t="shared" si="8"/>
        <v>0</v>
      </c>
      <c r="U28" s="24">
        <f t="shared" si="9"/>
        <v>0</v>
      </c>
      <c r="V28" s="23">
        <v>336</v>
      </c>
      <c r="W28" s="216">
        <f t="shared" si="10"/>
        <v>49.77777777777778</v>
      </c>
      <c r="X28" s="205">
        <v>274</v>
      </c>
      <c r="Y28" s="279">
        <v>609</v>
      </c>
      <c r="Z28" s="289">
        <f>(F28+Y28-X28)/D28*100</f>
        <v>7.3943919759865295</v>
      </c>
    </row>
    <row r="29" spans="1:26" ht="9.75">
      <c r="A29" s="297" t="s">
        <v>84</v>
      </c>
      <c r="B29" s="46" t="s">
        <v>78</v>
      </c>
      <c r="C29" s="30">
        <f>2525+12824</f>
        <v>15349</v>
      </c>
      <c r="D29" s="143">
        <f>952+8210</f>
        <v>9162</v>
      </c>
      <c r="E29" s="137">
        <f t="shared" si="0"/>
        <v>59.69118509349143</v>
      </c>
      <c r="F29" s="161">
        <v>1593</v>
      </c>
      <c r="G29" s="144">
        <f t="shared" si="18"/>
        <v>17.38703339882122</v>
      </c>
      <c r="H29" s="61">
        <f t="shared" si="27"/>
        <v>68</v>
      </c>
      <c r="I29" s="68">
        <f t="shared" si="20"/>
        <v>4.268675455116133</v>
      </c>
      <c r="J29" s="61">
        <f t="shared" si="28"/>
        <v>63</v>
      </c>
      <c r="K29" s="68">
        <f t="shared" si="22"/>
        <v>92.64705882352942</v>
      </c>
      <c r="L29" s="143">
        <v>34</v>
      </c>
      <c r="M29" s="143">
        <v>2</v>
      </c>
      <c r="N29" s="143">
        <v>0</v>
      </c>
      <c r="O29" s="143">
        <v>27</v>
      </c>
      <c r="P29" s="143">
        <v>3</v>
      </c>
      <c r="Q29" s="145">
        <v>2</v>
      </c>
      <c r="R29" s="167">
        <f t="shared" si="7"/>
        <v>0.12554927809165098</v>
      </c>
      <c r="S29" s="204">
        <v>0</v>
      </c>
      <c r="T29" s="146">
        <f t="shared" si="8"/>
        <v>0</v>
      </c>
      <c r="U29" s="147">
        <f t="shared" si="9"/>
        <v>3.1746031746031744</v>
      </c>
      <c r="V29" s="143">
        <v>222</v>
      </c>
      <c r="W29" s="215">
        <f t="shared" si="10"/>
        <v>13.93596986817326</v>
      </c>
      <c r="X29" s="204">
        <v>1392</v>
      </c>
      <c r="Y29" s="280"/>
      <c r="Z29" s="283"/>
    </row>
    <row r="30" spans="1:26" ht="9.75">
      <c r="A30" s="297"/>
      <c r="B30" s="138" t="s">
        <v>101</v>
      </c>
      <c r="C30" s="194"/>
      <c r="D30" s="195"/>
      <c r="E30" s="196"/>
      <c r="F30" s="159">
        <v>0</v>
      </c>
      <c r="G30" s="197"/>
      <c r="H30" s="60">
        <f t="shared" si="27"/>
        <v>0</v>
      </c>
      <c r="I30" s="67" t="e">
        <f t="shared" si="20"/>
        <v>#DIV/0!</v>
      </c>
      <c r="J30" s="60">
        <f t="shared" si="28"/>
        <v>0</v>
      </c>
      <c r="K30" s="67" t="e">
        <f t="shared" si="22"/>
        <v>#DIV/0!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2">
        <v>0</v>
      </c>
      <c r="R30" s="166" t="e">
        <f t="shared" si="7"/>
        <v>#DIV/0!</v>
      </c>
      <c r="S30" s="202">
        <v>0</v>
      </c>
      <c r="T30" s="133" t="e">
        <f t="shared" si="8"/>
        <v>#DIV/0!</v>
      </c>
      <c r="U30" s="134" t="e">
        <f t="shared" si="9"/>
        <v>#DIV/0!</v>
      </c>
      <c r="V30" s="131">
        <v>0</v>
      </c>
      <c r="W30" s="213" t="e">
        <f t="shared" si="10"/>
        <v>#DIV/0!</v>
      </c>
      <c r="X30" s="202">
        <v>0</v>
      </c>
      <c r="Y30" s="168"/>
      <c r="Z30" s="282"/>
    </row>
    <row r="31" spans="1:26" ht="9.75">
      <c r="A31" s="297"/>
      <c r="B31" s="45" t="s">
        <v>99</v>
      </c>
      <c r="C31" s="23">
        <v>12824</v>
      </c>
      <c r="D31" s="23">
        <v>8210</v>
      </c>
      <c r="E31" s="135">
        <f t="shared" si="0"/>
        <v>64.02058640049907</v>
      </c>
      <c r="F31" s="162">
        <v>1166</v>
      </c>
      <c r="G31" s="25">
        <f t="shared" si="18"/>
        <v>14.20219244823386</v>
      </c>
      <c r="H31" s="26">
        <f t="shared" si="27"/>
        <v>71</v>
      </c>
      <c r="I31" s="27">
        <f t="shared" si="20"/>
        <v>6.089193825042882</v>
      </c>
      <c r="J31" s="26">
        <f t="shared" si="28"/>
        <v>69</v>
      </c>
      <c r="K31" s="27">
        <f t="shared" si="22"/>
        <v>97.1830985915493</v>
      </c>
      <c r="L31" s="23">
        <v>21</v>
      </c>
      <c r="M31" s="23">
        <v>1</v>
      </c>
      <c r="N31" s="23">
        <v>0</v>
      </c>
      <c r="O31" s="23">
        <v>47</v>
      </c>
      <c r="P31" s="23">
        <v>1</v>
      </c>
      <c r="Q31" s="28">
        <v>1</v>
      </c>
      <c r="R31" s="29">
        <f t="shared" si="7"/>
        <v>0.08576329331046312</v>
      </c>
      <c r="S31" s="205">
        <v>0</v>
      </c>
      <c r="T31" s="100">
        <f t="shared" si="8"/>
        <v>0</v>
      </c>
      <c r="U31" s="24">
        <f t="shared" si="9"/>
        <v>1.4492753623188406</v>
      </c>
      <c r="V31" s="23">
        <v>336</v>
      </c>
      <c r="W31" s="216">
        <f t="shared" si="10"/>
        <v>28.81646655231561</v>
      </c>
      <c r="X31" s="205">
        <v>614</v>
      </c>
      <c r="Y31" s="279">
        <v>1038</v>
      </c>
      <c r="Z31" s="289">
        <f>(F31+Y31-X31)/D31*100</f>
        <v>19.366626065773445</v>
      </c>
    </row>
    <row r="32" spans="1:26" ht="9.75">
      <c r="A32" s="297" t="s">
        <v>85</v>
      </c>
      <c r="B32" s="46" t="s">
        <v>78</v>
      </c>
      <c r="C32" s="30">
        <f>574+5085</f>
        <v>5659</v>
      </c>
      <c r="D32" s="143">
        <f>157+3411</f>
        <v>3568</v>
      </c>
      <c r="E32" s="137">
        <f t="shared" si="0"/>
        <v>63.0500088354833</v>
      </c>
      <c r="F32" s="161">
        <v>135</v>
      </c>
      <c r="G32" s="144">
        <f t="shared" si="18"/>
        <v>3.7836322869955157</v>
      </c>
      <c r="H32" s="61">
        <f t="shared" si="27"/>
        <v>6</v>
      </c>
      <c r="I32" s="68">
        <f t="shared" si="20"/>
        <v>4.444444444444445</v>
      </c>
      <c r="J32" s="61">
        <f t="shared" si="28"/>
        <v>6</v>
      </c>
      <c r="K32" s="68">
        <f t="shared" si="22"/>
        <v>100</v>
      </c>
      <c r="L32" s="143">
        <v>5</v>
      </c>
      <c r="M32" s="143">
        <v>0</v>
      </c>
      <c r="N32" s="143">
        <v>0</v>
      </c>
      <c r="O32" s="143">
        <v>1</v>
      </c>
      <c r="P32" s="143">
        <v>0</v>
      </c>
      <c r="Q32" s="145">
        <v>0</v>
      </c>
      <c r="R32" s="167">
        <f t="shared" si="7"/>
        <v>0</v>
      </c>
      <c r="S32" s="204">
        <v>0</v>
      </c>
      <c r="T32" s="146">
        <f t="shared" si="8"/>
        <v>0</v>
      </c>
      <c r="U32" s="147">
        <f t="shared" si="9"/>
        <v>0</v>
      </c>
      <c r="V32" s="143">
        <v>15</v>
      </c>
      <c r="W32" s="215">
        <f t="shared" si="10"/>
        <v>11.11111111111111</v>
      </c>
      <c r="X32" s="204">
        <v>68</v>
      </c>
      <c r="Y32" s="280"/>
      <c r="Z32" s="283"/>
    </row>
    <row r="33" spans="1:26" ht="9.75">
      <c r="A33" s="297"/>
      <c r="B33" s="138" t="s">
        <v>101</v>
      </c>
      <c r="C33" s="194"/>
      <c r="D33" s="195"/>
      <c r="E33" s="196"/>
      <c r="F33" s="159">
        <v>0</v>
      </c>
      <c r="G33" s="197"/>
      <c r="H33" s="60">
        <f t="shared" si="27"/>
        <v>0</v>
      </c>
      <c r="I33" s="67" t="e">
        <f t="shared" si="20"/>
        <v>#DIV/0!</v>
      </c>
      <c r="J33" s="60">
        <f t="shared" si="28"/>
        <v>0</v>
      </c>
      <c r="K33" s="67" t="e">
        <f t="shared" si="22"/>
        <v>#DIV/0!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2">
        <v>0</v>
      </c>
      <c r="R33" s="166" t="e">
        <f t="shared" si="7"/>
        <v>#DIV/0!</v>
      </c>
      <c r="S33" s="202">
        <v>0</v>
      </c>
      <c r="T33" s="133" t="e">
        <f t="shared" si="8"/>
        <v>#DIV/0!</v>
      </c>
      <c r="U33" s="134" t="e">
        <f t="shared" si="9"/>
        <v>#DIV/0!</v>
      </c>
      <c r="V33" s="131">
        <v>0</v>
      </c>
      <c r="W33" s="213" t="e">
        <f t="shared" si="10"/>
        <v>#DIV/0!</v>
      </c>
      <c r="X33" s="202">
        <v>0</v>
      </c>
      <c r="Y33" s="168"/>
      <c r="Z33" s="282"/>
    </row>
    <row r="34" spans="1:26" ht="10.5" thickBot="1">
      <c r="A34" s="301"/>
      <c r="B34" s="47" t="s">
        <v>99</v>
      </c>
      <c r="C34" s="31">
        <v>5085</v>
      </c>
      <c r="D34" s="31">
        <v>3411</v>
      </c>
      <c r="E34" s="139">
        <f t="shared" si="0"/>
        <v>67.07964601769912</v>
      </c>
      <c r="F34" s="160">
        <v>356</v>
      </c>
      <c r="G34" s="140">
        <f t="shared" si="18"/>
        <v>10.436822046320728</v>
      </c>
      <c r="H34" s="141">
        <f t="shared" si="27"/>
        <v>21</v>
      </c>
      <c r="I34" s="142">
        <f t="shared" si="20"/>
        <v>5.8988764044943816</v>
      </c>
      <c r="J34" s="141">
        <f t="shared" si="28"/>
        <v>21</v>
      </c>
      <c r="K34" s="142">
        <f t="shared" si="22"/>
        <v>100</v>
      </c>
      <c r="L34" s="31">
        <v>10</v>
      </c>
      <c r="M34" s="31">
        <v>0</v>
      </c>
      <c r="N34" s="31">
        <v>0</v>
      </c>
      <c r="O34" s="31">
        <v>11</v>
      </c>
      <c r="P34" s="31">
        <v>0</v>
      </c>
      <c r="Q34" s="33">
        <v>0</v>
      </c>
      <c r="R34" s="34">
        <f t="shared" si="7"/>
        <v>0</v>
      </c>
      <c r="S34" s="203">
        <v>0</v>
      </c>
      <c r="T34" s="101">
        <f t="shared" si="8"/>
        <v>0</v>
      </c>
      <c r="U34" s="32">
        <f t="shared" si="9"/>
        <v>0</v>
      </c>
      <c r="V34" s="31">
        <v>102</v>
      </c>
      <c r="W34" s="214">
        <f t="shared" si="10"/>
        <v>28.651685393258425</v>
      </c>
      <c r="X34" s="203">
        <v>222</v>
      </c>
      <c r="Y34" s="279">
        <v>396</v>
      </c>
      <c r="Z34" s="289">
        <f>(F34+Y34-X34)/D34*100</f>
        <v>15.537965406039284</v>
      </c>
    </row>
    <row r="35" spans="1:26" ht="9.75">
      <c r="A35" s="302" t="s">
        <v>35</v>
      </c>
      <c r="B35" s="43" t="s">
        <v>78</v>
      </c>
      <c r="C35" s="20">
        <f aca="true" t="shared" si="29" ref="C35:D37">SUM(C26,C29,C32)</f>
        <v>47065</v>
      </c>
      <c r="D35" s="20">
        <f t="shared" si="29"/>
        <v>27815</v>
      </c>
      <c r="E35" s="104">
        <f t="shared" si="0"/>
        <v>59.09911824073091</v>
      </c>
      <c r="F35" s="163">
        <f>SUM(F26,F29,F32)</f>
        <v>4083</v>
      </c>
      <c r="G35" s="123">
        <f t="shared" si="18"/>
        <v>14.679129965845766</v>
      </c>
      <c r="H35" s="124">
        <f t="shared" si="27"/>
        <v>214</v>
      </c>
      <c r="I35" s="125">
        <f t="shared" si="20"/>
        <v>5.241244183198628</v>
      </c>
      <c r="J35" s="124">
        <f t="shared" si="28"/>
        <v>203</v>
      </c>
      <c r="K35" s="125">
        <f t="shared" si="22"/>
        <v>94.85981308411215</v>
      </c>
      <c r="L35" s="20">
        <f aca="true" t="shared" si="30" ref="L35:Q37">SUM(L26,L29,L32)</f>
        <v>68</v>
      </c>
      <c r="M35" s="20">
        <f t="shared" si="30"/>
        <v>5</v>
      </c>
      <c r="N35" s="20">
        <f t="shared" si="30"/>
        <v>0</v>
      </c>
      <c r="O35" s="20">
        <f t="shared" si="30"/>
        <v>130</v>
      </c>
      <c r="P35" s="20">
        <f t="shared" si="30"/>
        <v>6</v>
      </c>
      <c r="Q35" s="21">
        <f t="shared" si="30"/>
        <v>5</v>
      </c>
      <c r="R35" s="127">
        <f t="shared" si="7"/>
        <v>0.12245897624295861</v>
      </c>
      <c r="S35" s="198">
        <f>SUM(S26,S29,S32)</f>
        <v>0</v>
      </c>
      <c r="T35" s="128">
        <f t="shared" si="8"/>
        <v>0</v>
      </c>
      <c r="U35" s="129">
        <f t="shared" si="9"/>
        <v>2.4630541871921183</v>
      </c>
      <c r="V35" s="20">
        <f>SUM(V26,V29,V32)</f>
        <v>700</v>
      </c>
      <c r="W35" s="209">
        <f t="shared" si="10"/>
        <v>17.144256674014205</v>
      </c>
      <c r="X35" s="198">
        <f>SUM(X26,X29,X32)</f>
        <v>2857</v>
      </c>
      <c r="Y35" s="277"/>
      <c r="Z35" s="281"/>
    </row>
    <row r="36" spans="1:26" ht="9.75">
      <c r="A36" s="303"/>
      <c r="B36" s="105" t="s">
        <v>98</v>
      </c>
      <c r="C36" s="195"/>
      <c r="D36" s="195"/>
      <c r="E36" s="196"/>
      <c r="F36" s="156">
        <f>SUM(F27,F30,F33)</f>
        <v>0</v>
      </c>
      <c r="G36" s="197"/>
      <c r="H36" s="107">
        <f t="shared" si="27"/>
        <v>0</v>
      </c>
      <c r="I36" s="108" t="e">
        <f t="shared" si="20"/>
        <v>#DIV/0!</v>
      </c>
      <c r="J36" s="107">
        <f t="shared" si="28"/>
        <v>0</v>
      </c>
      <c r="K36" s="108" t="e">
        <f t="shared" si="22"/>
        <v>#DIV/0!</v>
      </c>
      <c r="L36" s="106">
        <f t="shared" si="30"/>
        <v>0</v>
      </c>
      <c r="M36" s="106">
        <f t="shared" si="30"/>
        <v>0</v>
      </c>
      <c r="N36" s="106">
        <f t="shared" si="30"/>
        <v>0</v>
      </c>
      <c r="O36" s="106">
        <f t="shared" si="30"/>
        <v>0</v>
      </c>
      <c r="P36" s="106">
        <f t="shared" si="30"/>
        <v>0</v>
      </c>
      <c r="Q36" s="109">
        <f t="shared" si="30"/>
        <v>0</v>
      </c>
      <c r="R36" s="110" t="e">
        <f t="shared" si="7"/>
        <v>#DIV/0!</v>
      </c>
      <c r="S36" s="199">
        <f>SUM(S27,S30,S33)</f>
        <v>0</v>
      </c>
      <c r="T36" s="111" t="e">
        <f t="shared" si="8"/>
        <v>#DIV/0!</v>
      </c>
      <c r="U36" s="112" t="e">
        <f t="shared" si="9"/>
        <v>#DIV/0!</v>
      </c>
      <c r="V36" s="106">
        <f>SUM(V27,V30,V33)</f>
        <v>0</v>
      </c>
      <c r="W36" s="210" t="e">
        <f t="shared" si="10"/>
        <v>#DIV/0!</v>
      </c>
      <c r="X36" s="199">
        <f>SUM(X27,X30,X33)</f>
        <v>0</v>
      </c>
      <c r="Y36" s="278"/>
      <c r="Z36" s="282"/>
    </row>
    <row r="37" spans="1:26" ht="10.5" thickBot="1">
      <c r="A37" s="304"/>
      <c r="B37" s="113" t="s">
        <v>99</v>
      </c>
      <c r="C37" s="40">
        <f t="shared" si="29"/>
        <v>39994</v>
      </c>
      <c r="D37" s="40">
        <f t="shared" si="29"/>
        <v>25280</v>
      </c>
      <c r="E37" s="130">
        <f aca="true" t="shared" si="31" ref="E37:E70">D37/C37*100</f>
        <v>63.20948142221333</v>
      </c>
      <c r="F37" s="164">
        <f>SUM(F28,F31,F34)</f>
        <v>2197</v>
      </c>
      <c r="G37" s="115">
        <f t="shared" si="18"/>
        <v>8.690664556962027</v>
      </c>
      <c r="H37" s="116">
        <f t="shared" si="27"/>
        <v>103</v>
      </c>
      <c r="I37" s="117">
        <f t="shared" si="20"/>
        <v>4.688211197086937</v>
      </c>
      <c r="J37" s="116">
        <f t="shared" si="28"/>
        <v>100</v>
      </c>
      <c r="K37" s="117">
        <f t="shared" si="22"/>
        <v>97.0873786407767</v>
      </c>
      <c r="L37" s="40">
        <f t="shared" si="30"/>
        <v>32</v>
      </c>
      <c r="M37" s="40">
        <f t="shared" si="30"/>
        <v>1</v>
      </c>
      <c r="N37" s="40">
        <f t="shared" si="30"/>
        <v>0</v>
      </c>
      <c r="O37" s="40">
        <f t="shared" si="30"/>
        <v>67</v>
      </c>
      <c r="P37" s="40">
        <f t="shared" si="30"/>
        <v>1</v>
      </c>
      <c r="Q37" s="41">
        <f t="shared" si="30"/>
        <v>2</v>
      </c>
      <c r="R37" s="119">
        <f aca="true" t="shared" si="32" ref="R37:R68">M37/F37*100</f>
        <v>0.04551661356395084</v>
      </c>
      <c r="S37" s="200">
        <f>SUM(S28,S31,S34)</f>
        <v>0</v>
      </c>
      <c r="T37" s="120">
        <f aca="true" t="shared" si="33" ref="T37:T68">S37/F37*100</f>
        <v>0</v>
      </c>
      <c r="U37" s="121">
        <f aca="true" t="shared" si="34" ref="U37:U68">M37/J37*100</f>
        <v>1</v>
      </c>
      <c r="V37" s="40">
        <f>SUM(V28,V31,V34)</f>
        <v>774</v>
      </c>
      <c r="W37" s="211">
        <f aca="true" t="shared" si="35" ref="W37:W68">V37/F37*100</f>
        <v>35.22985889849795</v>
      </c>
      <c r="X37" s="200">
        <f>SUM(X28,X31,X34)</f>
        <v>1110</v>
      </c>
      <c r="Y37" s="200">
        <f>SUM(Y28,Y31,Y34)</f>
        <v>2043</v>
      </c>
      <c r="Z37" s="288">
        <f>(F37+Y37-X37)/D37*100</f>
        <v>12.38132911392405</v>
      </c>
    </row>
    <row r="38" spans="1:26" ht="9.75">
      <c r="A38" s="298" t="s">
        <v>18</v>
      </c>
      <c r="B38" s="44" t="s">
        <v>78</v>
      </c>
      <c r="C38" s="22">
        <f>2293+13414</f>
        <v>15707</v>
      </c>
      <c r="D38" s="148">
        <f>847+8472</f>
        <v>9319</v>
      </c>
      <c r="E38" s="136">
        <f t="shared" si="31"/>
        <v>59.330234927102566</v>
      </c>
      <c r="F38" s="158">
        <v>1206</v>
      </c>
      <c r="G38" s="149">
        <f t="shared" si="18"/>
        <v>12.941302714883571</v>
      </c>
      <c r="H38" s="150">
        <f aca="true" t="shared" si="36" ref="H38:H49">SUM(L38:Q38)</f>
        <v>38</v>
      </c>
      <c r="I38" s="151">
        <f t="shared" si="20"/>
        <v>3.150912106135987</v>
      </c>
      <c r="J38" s="150">
        <f aca="true" t="shared" si="37" ref="J38:J49">SUM(L38:O38)</f>
        <v>33</v>
      </c>
      <c r="K38" s="151">
        <f t="shared" si="22"/>
        <v>86.8421052631579</v>
      </c>
      <c r="L38" s="148">
        <v>17</v>
      </c>
      <c r="M38" s="148">
        <v>2</v>
      </c>
      <c r="N38" s="148">
        <v>0</v>
      </c>
      <c r="O38" s="148">
        <v>14</v>
      </c>
      <c r="P38" s="148">
        <v>0</v>
      </c>
      <c r="Q38" s="152">
        <v>5</v>
      </c>
      <c r="R38" s="165">
        <f t="shared" si="32"/>
        <v>0.16583747927031509</v>
      </c>
      <c r="S38" s="201">
        <v>0</v>
      </c>
      <c r="T38" s="153">
        <f t="shared" si="33"/>
        <v>0</v>
      </c>
      <c r="U38" s="154">
        <f t="shared" si="34"/>
        <v>6.0606060606060606</v>
      </c>
      <c r="V38" s="148">
        <v>251</v>
      </c>
      <c r="W38" s="212">
        <f t="shared" si="35"/>
        <v>20.812603648424542</v>
      </c>
      <c r="X38" s="201">
        <v>924</v>
      </c>
      <c r="Y38" s="280"/>
      <c r="Z38" s="283"/>
    </row>
    <row r="39" spans="1:26" ht="9.75">
      <c r="A39" s="299"/>
      <c r="B39" s="138" t="s">
        <v>101</v>
      </c>
      <c r="C39" s="194"/>
      <c r="D39" s="195"/>
      <c r="E39" s="196"/>
      <c r="F39" s="159">
        <v>0</v>
      </c>
      <c r="G39" s="197"/>
      <c r="H39" s="60">
        <f t="shared" si="36"/>
        <v>0</v>
      </c>
      <c r="I39" s="67" t="e">
        <f t="shared" si="20"/>
        <v>#DIV/0!</v>
      </c>
      <c r="J39" s="60">
        <f t="shared" si="37"/>
        <v>0</v>
      </c>
      <c r="K39" s="67" t="e">
        <f t="shared" si="22"/>
        <v>#DIV/0!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2">
        <v>0</v>
      </c>
      <c r="R39" s="166" t="e">
        <f t="shared" si="32"/>
        <v>#DIV/0!</v>
      </c>
      <c r="S39" s="202">
        <v>0</v>
      </c>
      <c r="T39" s="133" t="e">
        <f t="shared" si="33"/>
        <v>#DIV/0!</v>
      </c>
      <c r="U39" s="134" t="e">
        <f t="shared" si="34"/>
        <v>#DIV/0!</v>
      </c>
      <c r="V39" s="131">
        <v>0</v>
      </c>
      <c r="W39" s="213" t="e">
        <f t="shared" si="35"/>
        <v>#DIV/0!</v>
      </c>
      <c r="X39" s="202">
        <v>0</v>
      </c>
      <c r="Y39" s="168"/>
      <c r="Z39" s="282"/>
    </row>
    <row r="40" spans="1:26" ht="9.75">
      <c r="A40" s="299"/>
      <c r="B40" s="45" t="s">
        <v>99</v>
      </c>
      <c r="C40" s="23">
        <v>13414</v>
      </c>
      <c r="D40" s="23">
        <v>8472</v>
      </c>
      <c r="E40" s="135">
        <f t="shared" si="31"/>
        <v>63.1578947368421</v>
      </c>
      <c r="F40" s="162">
        <v>786</v>
      </c>
      <c r="G40" s="25">
        <f t="shared" si="18"/>
        <v>9.277620396600566</v>
      </c>
      <c r="H40" s="26">
        <f t="shared" si="36"/>
        <v>47</v>
      </c>
      <c r="I40" s="27">
        <f t="shared" si="20"/>
        <v>5.979643765903308</v>
      </c>
      <c r="J40" s="26">
        <f t="shared" si="37"/>
        <v>43</v>
      </c>
      <c r="K40" s="27">
        <f t="shared" si="22"/>
        <v>91.48936170212765</v>
      </c>
      <c r="L40" s="23">
        <v>15</v>
      </c>
      <c r="M40" s="23">
        <v>0</v>
      </c>
      <c r="N40" s="23">
        <v>0</v>
      </c>
      <c r="O40" s="23">
        <v>28</v>
      </c>
      <c r="P40" s="23">
        <v>0</v>
      </c>
      <c r="Q40" s="28">
        <v>4</v>
      </c>
      <c r="R40" s="29">
        <f t="shared" si="32"/>
        <v>0</v>
      </c>
      <c r="S40" s="205">
        <v>0</v>
      </c>
      <c r="T40" s="100">
        <f t="shared" si="33"/>
        <v>0</v>
      </c>
      <c r="U40" s="24">
        <f t="shared" si="34"/>
        <v>0</v>
      </c>
      <c r="V40" s="23">
        <v>257</v>
      </c>
      <c r="W40" s="216">
        <f t="shared" si="35"/>
        <v>32.69720101781171</v>
      </c>
      <c r="X40" s="205">
        <v>397</v>
      </c>
      <c r="Y40" s="279">
        <v>716</v>
      </c>
      <c r="Z40" s="289">
        <f>(F40+Y40-X40)/D40*100</f>
        <v>13.04296506137866</v>
      </c>
    </row>
    <row r="41" spans="1:26" ht="9.75">
      <c r="A41" s="297" t="s">
        <v>86</v>
      </c>
      <c r="B41" s="46" t="s">
        <v>78</v>
      </c>
      <c r="C41" s="30">
        <f>2848+14152</f>
        <v>17000</v>
      </c>
      <c r="D41" s="143">
        <f>650+4217</f>
        <v>4867</v>
      </c>
      <c r="E41" s="137">
        <f t="shared" si="31"/>
        <v>28.629411764705882</v>
      </c>
      <c r="F41" s="161">
        <v>633</v>
      </c>
      <c r="G41" s="144">
        <f t="shared" si="18"/>
        <v>13.005958495993426</v>
      </c>
      <c r="H41" s="61">
        <f t="shared" si="36"/>
        <v>49</v>
      </c>
      <c r="I41" s="68">
        <f t="shared" si="20"/>
        <v>7.740916271721959</v>
      </c>
      <c r="J41" s="61">
        <f t="shared" si="37"/>
        <v>40</v>
      </c>
      <c r="K41" s="68">
        <f t="shared" si="22"/>
        <v>81.63265306122449</v>
      </c>
      <c r="L41" s="143">
        <v>22</v>
      </c>
      <c r="M41" s="143">
        <v>1</v>
      </c>
      <c r="N41" s="143">
        <v>0</v>
      </c>
      <c r="O41" s="143">
        <v>17</v>
      </c>
      <c r="P41" s="143">
        <v>0</v>
      </c>
      <c r="Q41" s="145">
        <v>9</v>
      </c>
      <c r="R41" s="167">
        <f t="shared" si="32"/>
        <v>0.1579778830963665</v>
      </c>
      <c r="S41" s="204">
        <v>1</v>
      </c>
      <c r="T41" s="146">
        <f t="shared" si="33"/>
        <v>0.1579778830963665</v>
      </c>
      <c r="U41" s="147">
        <f t="shared" si="34"/>
        <v>2.5</v>
      </c>
      <c r="V41" s="143">
        <v>169</v>
      </c>
      <c r="W41" s="215">
        <f t="shared" si="35"/>
        <v>26.698262243285942</v>
      </c>
      <c r="X41" s="204">
        <v>387</v>
      </c>
      <c r="Y41" s="280"/>
      <c r="Z41" s="283"/>
    </row>
    <row r="42" spans="1:26" ht="9.75">
      <c r="A42" s="297"/>
      <c r="B42" s="138" t="s">
        <v>101</v>
      </c>
      <c r="C42" s="194"/>
      <c r="D42" s="195"/>
      <c r="E42" s="196"/>
      <c r="F42" s="159">
        <v>0</v>
      </c>
      <c r="G42" s="197"/>
      <c r="H42" s="60">
        <f t="shared" si="36"/>
        <v>0</v>
      </c>
      <c r="I42" s="67" t="e">
        <f t="shared" si="20"/>
        <v>#DIV/0!</v>
      </c>
      <c r="J42" s="60">
        <f t="shared" si="37"/>
        <v>0</v>
      </c>
      <c r="K42" s="67" t="e">
        <f t="shared" si="22"/>
        <v>#DIV/0!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2">
        <v>0</v>
      </c>
      <c r="R42" s="166" t="e">
        <f t="shared" si="32"/>
        <v>#DIV/0!</v>
      </c>
      <c r="S42" s="202">
        <v>0</v>
      </c>
      <c r="T42" s="133" t="e">
        <f t="shared" si="33"/>
        <v>#DIV/0!</v>
      </c>
      <c r="U42" s="134" t="e">
        <f t="shared" si="34"/>
        <v>#DIV/0!</v>
      </c>
      <c r="V42" s="131">
        <v>0</v>
      </c>
      <c r="W42" s="213" t="e">
        <f t="shared" si="35"/>
        <v>#DIV/0!</v>
      </c>
      <c r="X42" s="202">
        <v>0</v>
      </c>
      <c r="Y42" s="168"/>
      <c r="Z42" s="282"/>
    </row>
    <row r="43" spans="1:26" ht="9.75">
      <c r="A43" s="297"/>
      <c r="B43" s="45" t="s">
        <v>99</v>
      </c>
      <c r="C43" s="23">
        <v>14152</v>
      </c>
      <c r="D43" s="23">
        <v>4217</v>
      </c>
      <c r="E43" s="135">
        <f t="shared" si="31"/>
        <v>29.79790842283776</v>
      </c>
      <c r="F43" s="162">
        <v>1186</v>
      </c>
      <c r="G43" s="25">
        <f t="shared" si="18"/>
        <v>28.124258951861513</v>
      </c>
      <c r="H43" s="26">
        <f t="shared" si="36"/>
        <v>62</v>
      </c>
      <c r="I43" s="27">
        <f t="shared" si="20"/>
        <v>5.227655986509275</v>
      </c>
      <c r="J43" s="26">
        <f t="shared" si="37"/>
        <v>60</v>
      </c>
      <c r="K43" s="27">
        <f t="shared" si="22"/>
        <v>96.7741935483871</v>
      </c>
      <c r="L43" s="23">
        <v>21</v>
      </c>
      <c r="M43" s="23">
        <v>3</v>
      </c>
      <c r="N43" s="23">
        <v>0</v>
      </c>
      <c r="O43" s="23">
        <v>36</v>
      </c>
      <c r="P43" s="23">
        <v>0</v>
      </c>
      <c r="Q43" s="28">
        <v>2</v>
      </c>
      <c r="R43" s="29">
        <f t="shared" si="32"/>
        <v>0.25295109612141653</v>
      </c>
      <c r="S43" s="205">
        <v>3</v>
      </c>
      <c r="T43" s="100">
        <f t="shared" si="33"/>
        <v>0.25295109612141653</v>
      </c>
      <c r="U43" s="24">
        <f t="shared" si="34"/>
        <v>5</v>
      </c>
      <c r="V43" s="23">
        <v>403</v>
      </c>
      <c r="W43" s="216">
        <f t="shared" si="35"/>
        <v>33.97976391231028</v>
      </c>
      <c r="X43" s="205">
        <v>574</v>
      </c>
      <c r="Y43" s="279">
        <v>897</v>
      </c>
      <c r="Z43" s="289">
        <f>(F43+Y43-X43)/D43*100</f>
        <v>35.783732511263935</v>
      </c>
    </row>
    <row r="44" spans="1:26" ht="9.75">
      <c r="A44" s="299" t="s">
        <v>19</v>
      </c>
      <c r="B44" s="46" t="s">
        <v>78</v>
      </c>
      <c r="C44" s="30">
        <f>929+5466</f>
        <v>6395</v>
      </c>
      <c r="D44" s="143">
        <f>372+3389</f>
        <v>3761</v>
      </c>
      <c r="E44" s="137">
        <f t="shared" si="31"/>
        <v>58.81157154026583</v>
      </c>
      <c r="F44" s="161">
        <v>263</v>
      </c>
      <c r="G44" s="144">
        <f t="shared" si="18"/>
        <v>6.992821058229194</v>
      </c>
      <c r="H44" s="61">
        <f t="shared" si="36"/>
        <v>6</v>
      </c>
      <c r="I44" s="68">
        <f t="shared" si="20"/>
        <v>2.2813688212927756</v>
      </c>
      <c r="J44" s="61">
        <f t="shared" si="37"/>
        <v>5</v>
      </c>
      <c r="K44" s="68">
        <f t="shared" si="22"/>
        <v>83.33333333333334</v>
      </c>
      <c r="L44" s="143">
        <v>0</v>
      </c>
      <c r="M44" s="143">
        <v>0</v>
      </c>
      <c r="N44" s="143">
        <v>0</v>
      </c>
      <c r="O44" s="143">
        <v>5</v>
      </c>
      <c r="P44" s="143">
        <v>0</v>
      </c>
      <c r="Q44" s="145">
        <v>1</v>
      </c>
      <c r="R44" s="167">
        <f t="shared" si="32"/>
        <v>0</v>
      </c>
      <c r="S44" s="204">
        <v>0</v>
      </c>
      <c r="T44" s="146">
        <f t="shared" si="33"/>
        <v>0</v>
      </c>
      <c r="U44" s="147">
        <f t="shared" si="34"/>
        <v>0</v>
      </c>
      <c r="V44" s="143">
        <v>104</v>
      </c>
      <c r="W44" s="215">
        <f t="shared" si="35"/>
        <v>39.543726235741445</v>
      </c>
      <c r="X44" s="204">
        <v>96</v>
      </c>
      <c r="Y44" s="280"/>
      <c r="Z44" s="283"/>
    </row>
    <row r="45" spans="1:26" ht="9.75">
      <c r="A45" s="299"/>
      <c r="B45" s="138" t="s">
        <v>101</v>
      </c>
      <c r="C45" s="194"/>
      <c r="D45" s="195"/>
      <c r="E45" s="196"/>
      <c r="F45" s="159">
        <v>0</v>
      </c>
      <c r="G45" s="197"/>
      <c r="H45" s="60">
        <f t="shared" si="36"/>
        <v>0</v>
      </c>
      <c r="I45" s="67" t="e">
        <f t="shared" si="20"/>
        <v>#DIV/0!</v>
      </c>
      <c r="J45" s="60">
        <f t="shared" si="37"/>
        <v>0</v>
      </c>
      <c r="K45" s="67" t="e">
        <f t="shared" si="22"/>
        <v>#DIV/0!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2">
        <v>0</v>
      </c>
      <c r="R45" s="166" t="e">
        <f t="shared" si="32"/>
        <v>#DIV/0!</v>
      </c>
      <c r="S45" s="202">
        <v>0</v>
      </c>
      <c r="T45" s="133" t="e">
        <f t="shared" si="33"/>
        <v>#DIV/0!</v>
      </c>
      <c r="U45" s="134" t="e">
        <f t="shared" si="34"/>
        <v>#DIV/0!</v>
      </c>
      <c r="V45" s="131">
        <v>0</v>
      </c>
      <c r="W45" s="213" t="e">
        <f t="shared" si="35"/>
        <v>#DIV/0!</v>
      </c>
      <c r="X45" s="202">
        <v>0</v>
      </c>
      <c r="Y45" s="168"/>
      <c r="Z45" s="282"/>
    </row>
    <row r="46" spans="1:26" ht="10.5" thickBot="1">
      <c r="A46" s="305"/>
      <c r="B46" s="47" t="s">
        <v>99</v>
      </c>
      <c r="C46" s="31">
        <v>5466</v>
      </c>
      <c r="D46" s="31">
        <v>3389</v>
      </c>
      <c r="E46" s="139">
        <f t="shared" si="31"/>
        <v>62.00146359312111</v>
      </c>
      <c r="F46" s="160">
        <v>532</v>
      </c>
      <c r="G46" s="140">
        <f t="shared" si="18"/>
        <v>15.697845972263206</v>
      </c>
      <c r="H46" s="141">
        <f t="shared" si="36"/>
        <v>29</v>
      </c>
      <c r="I46" s="142">
        <f t="shared" si="20"/>
        <v>5.451127819548872</v>
      </c>
      <c r="J46" s="141">
        <f t="shared" si="37"/>
        <v>29</v>
      </c>
      <c r="K46" s="142">
        <f t="shared" si="22"/>
        <v>100</v>
      </c>
      <c r="L46" s="31">
        <v>6</v>
      </c>
      <c r="M46" s="31">
        <v>0</v>
      </c>
      <c r="N46" s="31">
        <v>0</v>
      </c>
      <c r="O46" s="31">
        <v>23</v>
      </c>
      <c r="P46" s="31">
        <v>0</v>
      </c>
      <c r="Q46" s="33">
        <v>0</v>
      </c>
      <c r="R46" s="34">
        <f t="shared" si="32"/>
        <v>0</v>
      </c>
      <c r="S46" s="203">
        <v>0</v>
      </c>
      <c r="T46" s="101">
        <f t="shared" si="33"/>
        <v>0</v>
      </c>
      <c r="U46" s="32">
        <f t="shared" si="34"/>
        <v>0</v>
      </c>
      <c r="V46" s="31">
        <v>206</v>
      </c>
      <c r="W46" s="214">
        <f t="shared" si="35"/>
        <v>38.721804511278194</v>
      </c>
      <c r="X46" s="203">
        <v>249</v>
      </c>
      <c r="Y46" s="279">
        <v>458</v>
      </c>
      <c r="Z46" s="289">
        <f>(F46+Y46-X46)/D46*100</f>
        <v>21.864856889938032</v>
      </c>
    </row>
    <row r="47" spans="1:26" ht="9.75">
      <c r="A47" s="302" t="s">
        <v>38</v>
      </c>
      <c r="B47" s="43" t="s">
        <v>78</v>
      </c>
      <c r="C47" s="20">
        <f aca="true" t="shared" si="38" ref="C47:D49">SUM(C38,C41,C44)</f>
        <v>39102</v>
      </c>
      <c r="D47" s="20">
        <f t="shared" si="38"/>
        <v>17947</v>
      </c>
      <c r="E47" s="104">
        <f t="shared" si="31"/>
        <v>45.89790803539461</v>
      </c>
      <c r="F47" s="163">
        <f>SUM(F38,F41,F44)</f>
        <v>2102</v>
      </c>
      <c r="G47" s="123">
        <f t="shared" si="18"/>
        <v>11.712263888115006</v>
      </c>
      <c r="H47" s="124">
        <f t="shared" si="36"/>
        <v>93</v>
      </c>
      <c r="I47" s="125">
        <f t="shared" si="20"/>
        <v>4.424357754519505</v>
      </c>
      <c r="J47" s="124">
        <f t="shared" si="37"/>
        <v>78</v>
      </c>
      <c r="K47" s="125">
        <f t="shared" si="22"/>
        <v>83.87096774193549</v>
      </c>
      <c r="L47" s="20">
        <f aca="true" t="shared" si="39" ref="L47:Q49">SUM(L38,L41,L44)</f>
        <v>39</v>
      </c>
      <c r="M47" s="20">
        <f t="shared" si="39"/>
        <v>3</v>
      </c>
      <c r="N47" s="20">
        <f t="shared" si="39"/>
        <v>0</v>
      </c>
      <c r="O47" s="20">
        <f t="shared" si="39"/>
        <v>36</v>
      </c>
      <c r="P47" s="20">
        <f t="shared" si="39"/>
        <v>0</v>
      </c>
      <c r="Q47" s="21">
        <f t="shared" si="39"/>
        <v>15</v>
      </c>
      <c r="R47" s="127">
        <f t="shared" si="32"/>
        <v>0.142721217887726</v>
      </c>
      <c r="S47" s="198">
        <f>SUM(S38,S41,S44)</f>
        <v>1</v>
      </c>
      <c r="T47" s="128">
        <f t="shared" si="33"/>
        <v>0.04757373929590866</v>
      </c>
      <c r="U47" s="129">
        <f t="shared" si="34"/>
        <v>3.8461538461538463</v>
      </c>
      <c r="V47" s="20">
        <f>SUM(V38,V41,V44)</f>
        <v>524</v>
      </c>
      <c r="W47" s="209">
        <f t="shared" si="35"/>
        <v>24.928639391056137</v>
      </c>
      <c r="X47" s="198">
        <f>SUM(X38,X41,X44)</f>
        <v>1407</v>
      </c>
      <c r="Y47" s="277"/>
      <c r="Z47" s="281"/>
    </row>
    <row r="48" spans="1:26" ht="9.75">
      <c r="A48" s="303"/>
      <c r="B48" s="105" t="s">
        <v>98</v>
      </c>
      <c r="C48" s="195"/>
      <c r="D48" s="195"/>
      <c r="E48" s="196"/>
      <c r="F48" s="156">
        <f>SUM(F39,F42,F45)</f>
        <v>0</v>
      </c>
      <c r="G48" s="197"/>
      <c r="H48" s="107">
        <f t="shared" si="36"/>
        <v>0</v>
      </c>
      <c r="I48" s="108" t="e">
        <f t="shared" si="20"/>
        <v>#DIV/0!</v>
      </c>
      <c r="J48" s="107">
        <f t="shared" si="37"/>
        <v>0</v>
      </c>
      <c r="K48" s="108" t="e">
        <f t="shared" si="22"/>
        <v>#DIV/0!</v>
      </c>
      <c r="L48" s="106">
        <f t="shared" si="39"/>
        <v>0</v>
      </c>
      <c r="M48" s="106">
        <f t="shared" si="39"/>
        <v>0</v>
      </c>
      <c r="N48" s="106">
        <f t="shared" si="39"/>
        <v>0</v>
      </c>
      <c r="O48" s="106">
        <f t="shared" si="39"/>
        <v>0</v>
      </c>
      <c r="P48" s="106">
        <f t="shared" si="39"/>
        <v>0</v>
      </c>
      <c r="Q48" s="109">
        <f t="shared" si="39"/>
        <v>0</v>
      </c>
      <c r="R48" s="110" t="e">
        <f t="shared" si="32"/>
        <v>#DIV/0!</v>
      </c>
      <c r="S48" s="199">
        <f>SUM(S39,S42,S45)</f>
        <v>0</v>
      </c>
      <c r="T48" s="111" t="e">
        <f t="shared" si="33"/>
        <v>#DIV/0!</v>
      </c>
      <c r="U48" s="112" t="e">
        <f t="shared" si="34"/>
        <v>#DIV/0!</v>
      </c>
      <c r="V48" s="106">
        <f>SUM(V39,V42,V45)</f>
        <v>0</v>
      </c>
      <c r="W48" s="210" t="e">
        <f t="shared" si="35"/>
        <v>#DIV/0!</v>
      </c>
      <c r="X48" s="199">
        <f>SUM(X39,X42,X45)</f>
        <v>0</v>
      </c>
      <c r="Y48" s="278"/>
      <c r="Z48" s="282"/>
    </row>
    <row r="49" spans="1:26" ht="10.5" thickBot="1">
      <c r="A49" s="304"/>
      <c r="B49" s="113" t="s">
        <v>99</v>
      </c>
      <c r="C49" s="40">
        <f t="shared" si="38"/>
        <v>33032</v>
      </c>
      <c r="D49" s="40">
        <f t="shared" si="38"/>
        <v>16078</v>
      </c>
      <c r="E49" s="130">
        <f t="shared" si="31"/>
        <v>48.674013078227176</v>
      </c>
      <c r="F49" s="164">
        <f>SUM(F40,F43,F46)</f>
        <v>2504</v>
      </c>
      <c r="G49" s="115">
        <f t="shared" si="18"/>
        <v>15.574076377658914</v>
      </c>
      <c r="H49" s="116">
        <f t="shared" si="36"/>
        <v>138</v>
      </c>
      <c r="I49" s="117">
        <f t="shared" si="20"/>
        <v>5.5111821086261985</v>
      </c>
      <c r="J49" s="116">
        <f t="shared" si="37"/>
        <v>132</v>
      </c>
      <c r="K49" s="117">
        <f t="shared" si="22"/>
        <v>95.65217391304348</v>
      </c>
      <c r="L49" s="40">
        <f t="shared" si="39"/>
        <v>42</v>
      </c>
      <c r="M49" s="40">
        <f t="shared" si="39"/>
        <v>3</v>
      </c>
      <c r="N49" s="40">
        <f t="shared" si="39"/>
        <v>0</v>
      </c>
      <c r="O49" s="40">
        <f t="shared" si="39"/>
        <v>87</v>
      </c>
      <c r="P49" s="40">
        <f t="shared" si="39"/>
        <v>0</v>
      </c>
      <c r="Q49" s="41">
        <f t="shared" si="39"/>
        <v>6</v>
      </c>
      <c r="R49" s="119">
        <f t="shared" si="32"/>
        <v>0.11980830670926518</v>
      </c>
      <c r="S49" s="200">
        <f>SUM(S40,S43,S46)</f>
        <v>3</v>
      </c>
      <c r="T49" s="120">
        <f t="shared" si="33"/>
        <v>0.11980830670926518</v>
      </c>
      <c r="U49" s="121">
        <f t="shared" si="34"/>
        <v>2.272727272727273</v>
      </c>
      <c r="V49" s="40">
        <f>SUM(V40,V43,V46)</f>
        <v>866</v>
      </c>
      <c r="W49" s="211">
        <f t="shared" si="35"/>
        <v>34.584664536741215</v>
      </c>
      <c r="X49" s="200">
        <f>SUM(X40,X43,X46)</f>
        <v>1220</v>
      </c>
      <c r="Y49" s="200">
        <f>SUM(Y40,Y43,Y46)</f>
        <v>2071</v>
      </c>
      <c r="Z49" s="288">
        <f>(F49+Y49-X49)/D49*100</f>
        <v>20.8670232615997</v>
      </c>
    </row>
    <row r="50" spans="1:26" ht="9.75">
      <c r="A50" s="298" t="s">
        <v>20</v>
      </c>
      <c r="B50" s="44" t="s">
        <v>78</v>
      </c>
      <c r="C50" s="22">
        <f>4300+19471</f>
        <v>23771</v>
      </c>
      <c r="D50" s="148">
        <f>1606+12018</f>
        <v>13624</v>
      </c>
      <c r="E50" s="136">
        <f t="shared" si="31"/>
        <v>57.31353329687434</v>
      </c>
      <c r="F50" s="158">
        <v>1034</v>
      </c>
      <c r="G50" s="149">
        <f t="shared" si="18"/>
        <v>7.589547856723429</v>
      </c>
      <c r="H50" s="150">
        <f aca="true" t="shared" si="40" ref="H50:H58">SUM(L50:Q50)</f>
        <v>32</v>
      </c>
      <c r="I50" s="151">
        <f t="shared" si="20"/>
        <v>3.0947775628626695</v>
      </c>
      <c r="J50" s="150">
        <f aca="true" t="shared" si="41" ref="J50:J58">SUM(L50:O50)</f>
        <v>27</v>
      </c>
      <c r="K50" s="151">
        <f t="shared" si="22"/>
        <v>84.375</v>
      </c>
      <c r="L50" s="148">
        <v>11</v>
      </c>
      <c r="M50" s="148">
        <v>2</v>
      </c>
      <c r="N50" s="148">
        <v>0</v>
      </c>
      <c r="O50" s="148">
        <v>14</v>
      </c>
      <c r="P50" s="148">
        <v>0</v>
      </c>
      <c r="Q50" s="152">
        <v>5</v>
      </c>
      <c r="R50" s="165">
        <f t="shared" si="32"/>
        <v>0.19342359767891684</v>
      </c>
      <c r="S50" s="201">
        <v>1</v>
      </c>
      <c r="T50" s="153">
        <f t="shared" si="33"/>
        <v>0.09671179883945842</v>
      </c>
      <c r="U50" s="154">
        <f t="shared" si="34"/>
        <v>7.4074074074074066</v>
      </c>
      <c r="V50" s="148">
        <v>66</v>
      </c>
      <c r="W50" s="212">
        <f t="shared" si="35"/>
        <v>6.382978723404255</v>
      </c>
      <c r="X50" s="201">
        <v>82</v>
      </c>
      <c r="Y50" s="280"/>
      <c r="Z50" s="283"/>
    </row>
    <row r="51" spans="1:26" ht="9.75">
      <c r="A51" s="299"/>
      <c r="B51" s="138" t="s">
        <v>101</v>
      </c>
      <c r="C51" s="194"/>
      <c r="D51" s="195"/>
      <c r="E51" s="196"/>
      <c r="F51" s="159">
        <v>0</v>
      </c>
      <c r="G51" s="197"/>
      <c r="H51" s="60">
        <f t="shared" si="40"/>
        <v>0</v>
      </c>
      <c r="I51" s="67" t="e">
        <f t="shared" si="20"/>
        <v>#DIV/0!</v>
      </c>
      <c r="J51" s="60">
        <f t="shared" si="41"/>
        <v>0</v>
      </c>
      <c r="K51" s="67" t="e">
        <f t="shared" si="22"/>
        <v>#DIV/0!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2">
        <v>0</v>
      </c>
      <c r="R51" s="166" t="e">
        <f t="shared" si="32"/>
        <v>#DIV/0!</v>
      </c>
      <c r="S51" s="202">
        <v>0</v>
      </c>
      <c r="T51" s="133" t="e">
        <f t="shared" si="33"/>
        <v>#DIV/0!</v>
      </c>
      <c r="U51" s="134" t="e">
        <f t="shared" si="34"/>
        <v>#DIV/0!</v>
      </c>
      <c r="V51" s="131">
        <v>0</v>
      </c>
      <c r="W51" s="213" t="e">
        <f t="shared" si="35"/>
        <v>#DIV/0!</v>
      </c>
      <c r="X51" s="202">
        <v>0</v>
      </c>
      <c r="Y51" s="168"/>
      <c r="Z51" s="282"/>
    </row>
    <row r="52" spans="1:26" ht="9.75">
      <c r="A52" s="299"/>
      <c r="B52" s="45" t="s">
        <v>99</v>
      </c>
      <c r="C52" s="23">
        <v>19471</v>
      </c>
      <c r="D52" s="23">
        <v>12018</v>
      </c>
      <c r="E52" s="135">
        <f t="shared" si="31"/>
        <v>61.72256175851266</v>
      </c>
      <c r="F52" s="162">
        <v>669</v>
      </c>
      <c r="G52" s="25">
        <f t="shared" si="18"/>
        <v>5.566650024962557</v>
      </c>
      <c r="H52" s="26">
        <f t="shared" si="40"/>
        <v>32</v>
      </c>
      <c r="I52" s="27">
        <f t="shared" si="20"/>
        <v>4.783258594917788</v>
      </c>
      <c r="J52" s="26">
        <f t="shared" si="41"/>
        <v>29</v>
      </c>
      <c r="K52" s="27">
        <f t="shared" si="22"/>
        <v>90.625</v>
      </c>
      <c r="L52" s="23">
        <v>12</v>
      </c>
      <c r="M52" s="23">
        <v>3</v>
      </c>
      <c r="N52" s="23">
        <v>1</v>
      </c>
      <c r="O52" s="23">
        <v>13</v>
      </c>
      <c r="P52" s="23">
        <v>0</v>
      </c>
      <c r="Q52" s="28">
        <v>3</v>
      </c>
      <c r="R52" s="29">
        <f t="shared" si="32"/>
        <v>0.4484304932735426</v>
      </c>
      <c r="S52" s="205">
        <v>3</v>
      </c>
      <c r="T52" s="100">
        <f t="shared" si="33"/>
        <v>0.4484304932735426</v>
      </c>
      <c r="U52" s="24">
        <f t="shared" si="34"/>
        <v>10.344827586206897</v>
      </c>
      <c r="V52" s="23">
        <v>292</v>
      </c>
      <c r="W52" s="216">
        <f t="shared" si="35"/>
        <v>43.64723467862481</v>
      </c>
      <c r="X52" s="205">
        <v>929</v>
      </c>
      <c r="Y52" s="279">
        <v>579</v>
      </c>
      <c r="Z52" s="289">
        <f>(F52+Y52-X52)/D52*100</f>
        <v>2.654351805624896</v>
      </c>
    </row>
    <row r="53" spans="1:26" ht="9.75">
      <c r="A53" s="299" t="s">
        <v>21</v>
      </c>
      <c r="B53" s="46" t="s">
        <v>78</v>
      </c>
      <c r="C53" s="30">
        <f>1014+3466</f>
        <v>4480</v>
      </c>
      <c r="D53" s="143">
        <f>211+1705</f>
        <v>1916</v>
      </c>
      <c r="E53" s="137">
        <f t="shared" si="31"/>
        <v>42.76785714285714</v>
      </c>
      <c r="F53" s="161">
        <v>367</v>
      </c>
      <c r="G53" s="144">
        <f t="shared" si="18"/>
        <v>19.154488517745303</v>
      </c>
      <c r="H53" s="61">
        <f t="shared" si="40"/>
        <v>14</v>
      </c>
      <c r="I53" s="68">
        <f t="shared" si="20"/>
        <v>3.8147138964577656</v>
      </c>
      <c r="J53" s="61">
        <f t="shared" si="41"/>
        <v>13</v>
      </c>
      <c r="K53" s="68">
        <f t="shared" si="22"/>
        <v>92.85714285714286</v>
      </c>
      <c r="L53" s="143">
        <v>7</v>
      </c>
      <c r="M53" s="143">
        <v>0</v>
      </c>
      <c r="N53" s="143">
        <v>0</v>
      </c>
      <c r="O53" s="143">
        <v>6</v>
      </c>
      <c r="P53" s="143">
        <v>1</v>
      </c>
      <c r="Q53" s="145">
        <v>0</v>
      </c>
      <c r="R53" s="167">
        <f t="shared" si="32"/>
        <v>0</v>
      </c>
      <c r="S53" s="204">
        <v>0</v>
      </c>
      <c r="T53" s="146">
        <f t="shared" si="33"/>
        <v>0</v>
      </c>
      <c r="U53" s="147">
        <f t="shared" si="34"/>
        <v>0</v>
      </c>
      <c r="V53" s="143">
        <v>107</v>
      </c>
      <c r="W53" s="215">
        <f t="shared" si="35"/>
        <v>29.155313351498634</v>
      </c>
      <c r="X53" s="204">
        <v>157</v>
      </c>
      <c r="Y53" s="280"/>
      <c r="Z53" s="283"/>
    </row>
    <row r="54" spans="1:26" ht="9.75">
      <c r="A54" s="299"/>
      <c r="B54" s="138" t="s">
        <v>101</v>
      </c>
      <c r="C54" s="194"/>
      <c r="D54" s="195"/>
      <c r="E54" s="196"/>
      <c r="F54" s="159">
        <v>0</v>
      </c>
      <c r="G54" s="197"/>
      <c r="H54" s="60">
        <f t="shared" si="40"/>
        <v>0</v>
      </c>
      <c r="I54" s="67" t="e">
        <f t="shared" si="20"/>
        <v>#DIV/0!</v>
      </c>
      <c r="J54" s="60">
        <f t="shared" si="41"/>
        <v>0</v>
      </c>
      <c r="K54" s="67" t="e">
        <f t="shared" si="22"/>
        <v>#DIV/0!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2">
        <v>0</v>
      </c>
      <c r="R54" s="166" t="e">
        <f t="shared" si="32"/>
        <v>#DIV/0!</v>
      </c>
      <c r="S54" s="202">
        <v>0</v>
      </c>
      <c r="T54" s="133" t="e">
        <f t="shared" si="33"/>
        <v>#DIV/0!</v>
      </c>
      <c r="U54" s="134" t="e">
        <f t="shared" si="34"/>
        <v>#DIV/0!</v>
      </c>
      <c r="V54" s="131">
        <v>0</v>
      </c>
      <c r="W54" s="213" t="e">
        <f t="shared" si="35"/>
        <v>#DIV/0!</v>
      </c>
      <c r="X54" s="202">
        <v>0</v>
      </c>
      <c r="Y54" s="168"/>
      <c r="Z54" s="282"/>
    </row>
    <row r="55" spans="1:26" ht="10.5" thickBot="1">
      <c r="A55" s="305"/>
      <c r="B55" s="47" t="s">
        <v>99</v>
      </c>
      <c r="C55" s="31">
        <v>3466</v>
      </c>
      <c r="D55" s="31">
        <v>1705</v>
      </c>
      <c r="E55" s="139">
        <f t="shared" si="31"/>
        <v>49.19215233698788</v>
      </c>
      <c r="F55" s="160">
        <v>206</v>
      </c>
      <c r="G55" s="140">
        <f t="shared" si="18"/>
        <v>12.082111436950147</v>
      </c>
      <c r="H55" s="141">
        <f t="shared" si="40"/>
        <v>11</v>
      </c>
      <c r="I55" s="142">
        <f t="shared" si="20"/>
        <v>5.339805825242718</v>
      </c>
      <c r="J55" s="141">
        <f t="shared" si="41"/>
        <v>11</v>
      </c>
      <c r="K55" s="142">
        <f t="shared" si="22"/>
        <v>100</v>
      </c>
      <c r="L55" s="31">
        <v>4</v>
      </c>
      <c r="M55" s="31">
        <v>0</v>
      </c>
      <c r="N55" s="31">
        <v>1</v>
      </c>
      <c r="O55" s="31">
        <v>6</v>
      </c>
      <c r="P55" s="31">
        <v>0</v>
      </c>
      <c r="Q55" s="33">
        <v>0</v>
      </c>
      <c r="R55" s="34">
        <f t="shared" si="32"/>
        <v>0</v>
      </c>
      <c r="S55" s="203">
        <v>0</v>
      </c>
      <c r="T55" s="101">
        <f t="shared" si="33"/>
        <v>0</v>
      </c>
      <c r="U55" s="32">
        <f t="shared" si="34"/>
        <v>0</v>
      </c>
      <c r="V55" s="31">
        <v>44</v>
      </c>
      <c r="W55" s="214">
        <f t="shared" si="35"/>
        <v>21.35922330097087</v>
      </c>
      <c r="X55" s="203">
        <v>0</v>
      </c>
      <c r="Y55" s="279">
        <v>217</v>
      </c>
      <c r="Z55" s="289">
        <f>(F55+Y55-X55)/D55*100</f>
        <v>24.809384164222877</v>
      </c>
    </row>
    <row r="56" spans="1:26" ht="9.75">
      <c r="A56" s="302" t="s">
        <v>39</v>
      </c>
      <c r="B56" s="43" t="s">
        <v>78</v>
      </c>
      <c r="C56" s="20">
        <f aca="true" t="shared" si="42" ref="C56:D58">SUM(C50,C53)</f>
        <v>28251</v>
      </c>
      <c r="D56" s="20">
        <f t="shared" si="42"/>
        <v>15540</v>
      </c>
      <c r="E56" s="104">
        <f t="shared" si="31"/>
        <v>55.00690241053414</v>
      </c>
      <c r="F56" s="163">
        <f>SUM(F50,F53)</f>
        <v>1401</v>
      </c>
      <c r="G56" s="123">
        <f t="shared" si="18"/>
        <v>9.015444015444016</v>
      </c>
      <c r="H56" s="124">
        <f t="shared" si="40"/>
        <v>46</v>
      </c>
      <c r="I56" s="125">
        <f t="shared" si="20"/>
        <v>3.283369022127052</v>
      </c>
      <c r="J56" s="124">
        <f t="shared" si="41"/>
        <v>40</v>
      </c>
      <c r="K56" s="125">
        <f t="shared" si="22"/>
        <v>86.95652173913044</v>
      </c>
      <c r="L56" s="20">
        <f aca="true" t="shared" si="43" ref="L56:Q56">SUM(L50,L53)</f>
        <v>18</v>
      </c>
      <c r="M56" s="20">
        <f t="shared" si="43"/>
        <v>2</v>
      </c>
      <c r="N56" s="20">
        <f t="shared" si="43"/>
        <v>0</v>
      </c>
      <c r="O56" s="20">
        <f t="shared" si="43"/>
        <v>20</v>
      </c>
      <c r="P56" s="20">
        <f t="shared" si="43"/>
        <v>1</v>
      </c>
      <c r="Q56" s="21">
        <f t="shared" si="43"/>
        <v>5</v>
      </c>
      <c r="R56" s="127">
        <f t="shared" si="32"/>
        <v>0.14275517487508924</v>
      </c>
      <c r="S56" s="198">
        <f>SUM(S50,S53)</f>
        <v>1</v>
      </c>
      <c r="T56" s="128">
        <f t="shared" si="33"/>
        <v>0.07137758743754462</v>
      </c>
      <c r="U56" s="129">
        <f t="shared" si="34"/>
        <v>5</v>
      </c>
      <c r="V56" s="20">
        <f>SUM(V50,V53)</f>
        <v>173</v>
      </c>
      <c r="W56" s="209">
        <f t="shared" si="35"/>
        <v>12.348322626695216</v>
      </c>
      <c r="X56" s="198">
        <f>SUM(X50,X53)</f>
        <v>239</v>
      </c>
      <c r="Y56" s="277"/>
      <c r="Z56" s="281"/>
    </row>
    <row r="57" spans="1:26" ht="9.75">
      <c r="A57" s="303"/>
      <c r="B57" s="105" t="s">
        <v>98</v>
      </c>
      <c r="C57" s="195"/>
      <c r="D57" s="195"/>
      <c r="E57" s="196"/>
      <c r="F57" s="156">
        <f>SUM(F51,F54)</f>
        <v>0</v>
      </c>
      <c r="G57" s="197"/>
      <c r="H57" s="107">
        <f t="shared" si="40"/>
        <v>0</v>
      </c>
      <c r="I57" s="108" t="e">
        <f t="shared" si="20"/>
        <v>#DIV/0!</v>
      </c>
      <c r="J57" s="107">
        <f t="shared" si="41"/>
        <v>0</v>
      </c>
      <c r="K57" s="108" t="e">
        <f t="shared" si="22"/>
        <v>#DIV/0!</v>
      </c>
      <c r="L57" s="106">
        <f aca="true" t="shared" si="44" ref="L57:Q57">SUM(L51,L54)</f>
        <v>0</v>
      </c>
      <c r="M57" s="106">
        <f t="shared" si="44"/>
        <v>0</v>
      </c>
      <c r="N57" s="106">
        <f t="shared" si="44"/>
        <v>0</v>
      </c>
      <c r="O57" s="106">
        <f t="shared" si="44"/>
        <v>0</v>
      </c>
      <c r="P57" s="106">
        <f t="shared" si="44"/>
        <v>0</v>
      </c>
      <c r="Q57" s="109">
        <f t="shared" si="44"/>
        <v>0</v>
      </c>
      <c r="R57" s="110" t="e">
        <f t="shared" si="32"/>
        <v>#DIV/0!</v>
      </c>
      <c r="S57" s="199">
        <f>SUM(S51,S54)</f>
        <v>0</v>
      </c>
      <c r="T57" s="111" t="e">
        <f t="shared" si="33"/>
        <v>#DIV/0!</v>
      </c>
      <c r="U57" s="112" t="e">
        <f t="shared" si="34"/>
        <v>#DIV/0!</v>
      </c>
      <c r="V57" s="106">
        <f>SUM(V51,V54)</f>
        <v>0</v>
      </c>
      <c r="W57" s="210" t="e">
        <f t="shared" si="35"/>
        <v>#DIV/0!</v>
      </c>
      <c r="X57" s="199">
        <f>SUM(X51,X54)</f>
        <v>0</v>
      </c>
      <c r="Y57" s="278"/>
      <c r="Z57" s="282"/>
    </row>
    <row r="58" spans="1:26" ht="10.5" thickBot="1">
      <c r="A58" s="304"/>
      <c r="B58" s="113" t="s">
        <v>99</v>
      </c>
      <c r="C58" s="40">
        <f t="shared" si="42"/>
        <v>22937</v>
      </c>
      <c r="D58" s="40">
        <f t="shared" si="42"/>
        <v>13723</v>
      </c>
      <c r="E58" s="130">
        <f t="shared" si="31"/>
        <v>59.8290970920347</v>
      </c>
      <c r="F58" s="164">
        <f>SUM(F52,F55)</f>
        <v>875</v>
      </c>
      <c r="G58" s="115">
        <f t="shared" si="18"/>
        <v>6.376156817022517</v>
      </c>
      <c r="H58" s="116">
        <f t="shared" si="40"/>
        <v>43</v>
      </c>
      <c r="I58" s="117">
        <f t="shared" si="20"/>
        <v>4.914285714285714</v>
      </c>
      <c r="J58" s="116">
        <f t="shared" si="41"/>
        <v>40</v>
      </c>
      <c r="K58" s="117">
        <f t="shared" si="22"/>
        <v>93.02325581395348</v>
      </c>
      <c r="L58" s="40">
        <f aca="true" t="shared" si="45" ref="L58:Q58">SUM(L52,L55)</f>
        <v>16</v>
      </c>
      <c r="M58" s="40">
        <f t="shared" si="45"/>
        <v>3</v>
      </c>
      <c r="N58" s="40">
        <f t="shared" si="45"/>
        <v>2</v>
      </c>
      <c r="O58" s="40">
        <f t="shared" si="45"/>
        <v>19</v>
      </c>
      <c r="P58" s="40">
        <f t="shared" si="45"/>
        <v>0</v>
      </c>
      <c r="Q58" s="41">
        <f t="shared" si="45"/>
        <v>3</v>
      </c>
      <c r="R58" s="119">
        <f t="shared" si="32"/>
        <v>0.34285714285714286</v>
      </c>
      <c r="S58" s="200">
        <f>SUM(S52,S55)</f>
        <v>3</v>
      </c>
      <c r="T58" s="120">
        <f t="shared" si="33"/>
        <v>0.34285714285714286</v>
      </c>
      <c r="U58" s="121">
        <f t="shared" si="34"/>
        <v>7.5</v>
      </c>
      <c r="V58" s="40">
        <f>SUM(V52,V55)</f>
        <v>336</v>
      </c>
      <c r="W58" s="211">
        <f t="shared" si="35"/>
        <v>38.4</v>
      </c>
      <c r="X58" s="200">
        <f>SUM(X52,X55)</f>
        <v>929</v>
      </c>
      <c r="Y58" s="200">
        <f>SUM(Y52,Y55)</f>
        <v>796</v>
      </c>
      <c r="Z58" s="288">
        <f>(F58+Y58-X58)/D58*100</f>
        <v>5.406980980835095</v>
      </c>
    </row>
    <row r="59" spans="1:26" ht="9.75">
      <c r="A59" s="298" t="s">
        <v>22</v>
      </c>
      <c r="B59" s="44" t="s">
        <v>78</v>
      </c>
      <c r="C59" s="22">
        <f>3112+18756</f>
        <v>21868</v>
      </c>
      <c r="D59" s="148">
        <f>1040+13010</f>
        <v>14050</v>
      </c>
      <c r="E59" s="136">
        <f t="shared" si="31"/>
        <v>64.24913115053961</v>
      </c>
      <c r="F59" s="158">
        <v>585</v>
      </c>
      <c r="G59" s="149">
        <f t="shared" si="18"/>
        <v>4.1637010676156585</v>
      </c>
      <c r="H59" s="150">
        <f aca="true" t="shared" si="46" ref="H59:H76">SUM(L59:Q59)</f>
        <v>18</v>
      </c>
      <c r="I59" s="151">
        <f t="shared" si="20"/>
        <v>3.076923076923077</v>
      </c>
      <c r="J59" s="150">
        <f aca="true" t="shared" si="47" ref="J59:J76">SUM(L59:O59)</f>
        <v>17</v>
      </c>
      <c r="K59" s="151">
        <f t="shared" si="22"/>
        <v>94.44444444444444</v>
      </c>
      <c r="L59" s="148">
        <v>5</v>
      </c>
      <c r="M59" s="148">
        <v>0</v>
      </c>
      <c r="N59" s="148">
        <v>0</v>
      </c>
      <c r="O59" s="148">
        <v>12</v>
      </c>
      <c r="P59" s="148">
        <v>0</v>
      </c>
      <c r="Q59" s="152">
        <v>1</v>
      </c>
      <c r="R59" s="165">
        <f t="shared" si="32"/>
        <v>0</v>
      </c>
      <c r="S59" s="201">
        <v>0</v>
      </c>
      <c r="T59" s="153">
        <f t="shared" si="33"/>
        <v>0</v>
      </c>
      <c r="U59" s="154">
        <f t="shared" si="34"/>
        <v>0</v>
      </c>
      <c r="V59" s="148">
        <v>60</v>
      </c>
      <c r="W59" s="212">
        <f t="shared" si="35"/>
        <v>10.256410256410255</v>
      </c>
      <c r="X59" s="201">
        <v>449</v>
      </c>
      <c r="Y59" s="280"/>
      <c r="Z59" s="283"/>
    </row>
    <row r="60" spans="1:26" ht="9.75">
      <c r="A60" s="299"/>
      <c r="B60" s="138" t="s">
        <v>101</v>
      </c>
      <c r="C60" s="194"/>
      <c r="D60" s="195"/>
      <c r="E60" s="196"/>
      <c r="F60" s="159">
        <v>0</v>
      </c>
      <c r="G60" s="197"/>
      <c r="H60" s="60">
        <f t="shared" si="46"/>
        <v>0</v>
      </c>
      <c r="I60" s="67" t="e">
        <f t="shared" si="20"/>
        <v>#DIV/0!</v>
      </c>
      <c r="J60" s="60">
        <f t="shared" si="47"/>
        <v>0</v>
      </c>
      <c r="K60" s="67" t="e">
        <f t="shared" si="22"/>
        <v>#DIV/0!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2">
        <v>0</v>
      </c>
      <c r="R60" s="166" t="e">
        <f t="shared" si="32"/>
        <v>#DIV/0!</v>
      </c>
      <c r="S60" s="202">
        <v>0</v>
      </c>
      <c r="T60" s="133" t="e">
        <f t="shared" si="33"/>
        <v>#DIV/0!</v>
      </c>
      <c r="U60" s="134" t="e">
        <f t="shared" si="34"/>
        <v>#DIV/0!</v>
      </c>
      <c r="V60" s="131">
        <v>0</v>
      </c>
      <c r="W60" s="213" t="e">
        <f t="shared" si="35"/>
        <v>#DIV/0!</v>
      </c>
      <c r="X60" s="202">
        <v>0</v>
      </c>
      <c r="Y60" s="168"/>
      <c r="Z60" s="282"/>
    </row>
    <row r="61" spans="1:26" ht="9.75">
      <c r="A61" s="299"/>
      <c r="B61" s="45" t="s">
        <v>99</v>
      </c>
      <c r="C61" s="23">
        <v>18756</v>
      </c>
      <c r="D61" s="23">
        <v>13010</v>
      </c>
      <c r="E61" s="135">
        <f t="shared" si="31"/>
        <v>69.36447003625507</v>
      </c>
      <c r="F61" s="162">
        <v>498</v>
      </c>
      <c r="G61" s="25">
        <f t="shared" si="18"/>
        <v>3.8278247501921596</v>
      </c>
      <c r="H61" s="26">
        <f t="shared" si="46"/>
        <v>35</v>
      </c>
      <c r="I61" s="27">
        <f t="shared" si="20"/>
        <v>7.028112449799197</v>
      </c>
      <c r="J61" s="26">
        <f t="shared" si="47"/>
        <v>34</v>
      </c>
      <c r="K61" s="27">
        <f t="shared" si="22"/>
        <v>97.14285714285714</v>
      </c>
      <c r="L61" s="23">
        <v>9</v>
      </c>
      <c r="M61" s="23">
        <v>4</v>
      </c>
      <c r="N61" s="23">
        <v>0</v>
      </c>
      <c r="O61" s="23">
        <v>21</v>
      </c>
      <c r="P61" s="23">
        <v>0</v>
      </c>
      <c r="Q61" s="28">
        <v>1</v>
      </c>
      <c r="R61" s="29">
        <f t="shared" si="32"/>
        <v>0.8032128514056224</v>
      </c>
      <c r="S61" s="205">
        <v>0</v>
      </c>
      <c r="T61" s="100">
        <f t="shared" si="33"/>
        <v>0</v>
      </c>
      <c r="U61" s="24">
        <f t="shared" si="34"/>
        <v>11.76470588235294</v>
      </c>
      <c r="V61" s="23">
        <v>180</v>
      </c>
      <c r="W61" s="216">
        <f t="shared" si="35"/>
        <v>36.144578313253014</v>
      </c>
      <c r="X61" s="205">
        <v>253</v>
      </c>
      <c r="Y61" s="279">
        <v>405</v>
      </c>
      <c r="Z61" s="289">
        <f>(F61+Y61-X61)/D61*100</f>
        <v>4.996156802459646</v>
      </c>
    </row>
    <row r="62" spans="1:26" ht="9.75">
      <c r="A62" s="297" t="s">
        <v>87</v>
      </c>
      <c r="B62" s="46" t="s">
        <v>78</v>
      </c>
      <c r="C62" s="30">
        <f>2550+15288</f>
        <v>17838</v>
      </c>
      <c r="D62" s="143">
        <f>1221+7320</f>
        <v>8541</v>
      </c>
      <c r="E62" s="137">
        <f t="shared" si="31"/>
        <v>47.88092835519677</v>
      </c>
      <c r="F62" s="161">
        <v>407</v>
      </c>
      <c r="G62" s="144">
        <f t="shared" si="18"/>
        <v>4.765249970729423</v>
      </c>
      <c r="H62" s="61">
        <f t="shared" si="46"/>
        <v>42</v>
      </c>
      <c r="I62" s="68">
        <f t="shared" si="20"/>
        <v>10.319410319410318</v>
      </c>
      <c r="J62" s="61">
        <f t="shared" si="47"/>
        <v>38</v>
      </c>
      <c r="K62" s="68">
        <f t="shared" si="22"/>
        <v>90.47619047619048</v>
      </c>
      <c r="L62" s="143">
        <v>19</v>
      </c>
      <c r="M62" s="143">
        <v>2</v>
      </c>
      <c r="N62" s="143">
        <v>0</v>
      </c>
      <c r="O62" s="143">
        <v>17</v>
      </c>
      <c r="P62" s="143">
        <v>0</v>
      </c>
      <c r="Q62" s="145">
        <v>4</v>
      </c>
      <c r="R62" s="167">
        <f t="shared" si="32"/>
        <v>0.4914004914004914</v>
      </c>
      <c r="S62" s="204">
        <v>0</v>
      </c>
      <c r="T62" s="146">
        <f t="shared" si="33"/>
        <v>0</v>
      </c>
      <c r="U62" s="147">
        <f t="shared" si="34"/>
        <v>5.263157894736842</v>
      </c>
      <c r="V62" s="143">
        <v>63</v>
      </c>
      <c r="W62" s="215">
        <f t="shared" si="35"/>
        <v>15.47911547911548</v>
      </c>
      <c r="X62" s="204">
        <v>313</v>
      </c>
      <c r="Y62" s="280"/>
      <c r="Z62" s="283"/>
    </row>
    <row r="63" spans="1:26" ht="9.75">
      <c r="A63" s="297"/>
      <c r="B63" s="138" t="s">
        <v>101</v>
      </c>
      <c r="C63" s="194"/>
      <c r="D63" s="195"/>
      <c r="E63" s="196"/>
      <c r="F63" s="159">
        <v>221</v>
      </c>
      <c r="G63" s="197"/>
      <c r="H63" s="60">
        <f t="shared" si="46"/>
        <v>7</v>
      </c>
      <c r="I63" s="67">
        <f t="shared" si="20"/>
        <v>3.167420814479638</v>
      </c>
      <c r="J63" s="60">
        <f t="shared" si="47"/>
        <v>7</v>
      </c>
      <c r="K63" s="67">
        <f t="shared" si="22"/>
        <v>100</v>
      </c>
      <c r="L63" s="131">
        <v>3</v>
      </c>
      <c r="M63" s="131">
        <v>0</v>
      </c>
      <c r="N63" s="131">
        <v>0</v>
      </c>
      <c r="O63" s="131">
        <v>4</v>
      </c>
      <c r="P63" s="131">
        <v>0</v>
      </c>
      <c r="Q63" s="132">
        <v>0</v>
      </c>
      <c r="R63" s="166">
        <f t="shared" si="32"/>
        <v>0</v>
      </c>
      <c r="S63" s="202">
        <v>0</v>
      </c>
      <c r="T63" s="133">
        <f t="shared" si="33"/>
        <v>0</v>
      </c>
      <c r="U63" s="134">
        <f t="shared" si="34"/>
        <v>0</v>
      </c>
      <c r="V63" s="131">
        <v>58</v>
      </c>
      <c r="W63" s="213">
        <f t="shared" si="35"/>
        <v>26.244343891402718</v>
      </c>
      <c r="X63" s="202">
        <v>0</v>
      </c>
      <c r="Y63" s="168"/>
      <c r="Z63" s="282"/>
    </row>
    <row r="64" spans="1:26" ht="9.75">
      <c r="A64" s="297"/>
      <c r="B64" s="45" t="s">
        <v>99</v>
      </c>
      <c r="C64" s="23">
        <v>15288</v>
      </c>
      <c r="D64" s="23">
        <v>7320</v>
      </c>
      <c r="E64" s="135">
        <f t="shared" si="31"/>
        <v>47.880690737833596</v>
      </c>
      <c r="F64" s="162">
        <v>443</v>
      </c>
      <c r="G64" s="25">
        <f t="shared" si="18"/>
        <v>6.051912568306011</v>
      </c>
      <c r="H64" s="26">
        <f t="shared" si="46"/>
        <v>48</v>
      </c>
      <c r="I64" s="27">
        <f t="shared" si="20"/>
        <v>10.835214446952596</v>
      </c>
      <c r="J64" s="26">
        <f t="shared" si="47"/>
        <v>46</v>
      </c>
      <c r="K64" s="27">
        <f t="shared" si="22"/>
        <v>95.83333333333334</v>
      </c>
      <c r="L64" s="23">
        <v>21</v>
      </c>
      <c r="M64" s="23">
        <v>2</v>
      </c>
      <c r="N64" s="23">
        <v>0</v>
      </c>
      <c r="O64" s="23">
        <v>23</v>
      </c>
      <c r="P64" s="23">
        <v>0</v>
      </c>
      <c r="Q64" s="28">
        <v>2</v>
      </c>
      <c r="R64" s="29">
        <f t="shared" si="32"/>
        <v>0.4514672686230248</v>
      </c>
      <c r="S64" s="205">
        <v>0</v>
      </c>
      <c r="T64" s="100">
        <f t="shared" si="33"/>
        <v>0</v>
      </c>
      <c r="U64" s="24">
        <f t="shared" si="34"/>
        <v>4.3478260869565215</v>
      </c>
      <c r="V64" s="23">
        <v>176</v>
      </c>
      <c r="W64" s="216">
        <f t="shared" si="35"/>
        <v>39.729119638826184</v>
      </c>
      <c r="X64" s="205">
        <v>210</v>
      </c>
      <c r="Y64" s="279">
        <v>754</v>
      </c>
      <c r="Z64" s="289">
        <f>(F64+Y64-X64)/D64*100</f>
        <v>13.483606557377048</v>
      </c>
    </row>
    <row r="65" spans="1:26" ht="9.75">
      <c r="A65" s="299" t="s">
        <v>23</v>
      </c>
      <c r="B65" s="46" t="s">
        <v>78</v>
      </c>
      <c r="C65" s="30">
        <f>2179+12130</f>
        <v>14309</v>
      </c>
      <c r="D65" s="143">
        <f>780+7545</f>
        <v>8325</v>
      </c>
      <c r="E65" s="137">
        <f t="shared" si="31"/>
        <v>58.18016632888392</v>
      </c>
      <c r="F65" s="161">
        <v>472</v>
      </c>
      <c r="G65" s="144">
        <f t="shared" si="18"/>
        <v>5.66966966966967</v>
      </c>
      <c r="H65" s="61">
        <f t="shared" si="46"/>
        <v>37</v>
      </c>
      <c r="I65" s="68">
        <f t="shared" si="20"/>
        <v>7.838983050847458</v>
      </c>
      <c r="J65" s="61">
        <f t="shared" si="47"/>
        <v>31</v>
      </c>
      <c r="K65" s="68">
        <f t="shared" si="22"/>
        <v>83.78378378378379</v>
      </c>
      <c r="L65" s="143">
        <v>12</v>
      </c>
      <c r="M65" s="143">
        <v>3</v>
      </c>
      <c r="N65" s="143">
        <v>0</v>
      </c>
      <c r="O65" s="143">
        <v>16</v>
      </c>
      <c r="P65" s="143">
        <v>3</v>
      </c>
      <c r="Q65" s="145">
        <v>3</v>
      </c>
      <c r="R65" s="167">
        <f t="shared" si="32"/>
        <v>0.6355932203389831</v>
      </c>
      <c r="S65" s="204">
        <v>3</v>
      </c>
      <c r="T65" s="146">
        <f t="shared" si="33"/>
        <v>0.6355932203389831</v>
      </c>
      <c r="U65" s="147">
        <f t="shared" si="34"/>
        <v>9.67741935483871</v>
      </c>
      <c r="V65" s="143">
        <v>100</v>
      </c>
      <c r="W65" s="215">
        <f t="shared" si="35"/>
        <v>21.1864406779661</v>
      </c>
      <c r="X65" s="204">
        <v>311</v>
      </c>
      <c r="Y65" s="280"/>
      <c r="Z65" s="283"/>
    </row>
    <row r="66" spans="1:26" ht="9.75">
      <c r="A66" s="299"/>
      <c r="B66" s="138" t="s">
        <v>101</v>
      </c>
      <c r="C66" s="194"/>
      <c r="D66" s="195"/>
      <c r="E66" s="196"/>
      <c r="F66" s="159">
        <v>0</v>
      </c>
      <c r="G66" s="197"/>
      <c r="H66" s="60">
        <f t="shared" si="46"/>
        <v>0</v>
      </c>
      <c r="I66" s="67" t="e">
        <f t="shared" si="20"/>
        <v>#DIV/0!</v>
      </c>
      <c r="J66" s="60">
        <f t="shared" si="47"/>
        <v>0</v>
      </c>
      <c r="K66" s="67" t="e">
        <f t="shared" si="22"/>
        <v>#DIV/0!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2">
        <v>0</v>
      </c>
      <c r="R66" s="166" t="e">
        <f t="shared" si="32"/>
        <v>#DIV/0!</v>
      </c>
      <c r="S66" s="202">
        <v>0</v>
      </c>
      <c r="T66" s="133" t="e">
        <f t="shared" si="33"/>
        <v>#DIV/0!</v>
      </c>
      <c r="U66" s="134" t="e">
        <f t="shared" si="34"/>
        <v>#DIV/0!</v>
      </c>
      <c r="V66" s="131">
        <v>0</v>
      </c>
      <c r="W66" s="213" t="e">
        <f t="shared" si="35"/>
        <v>#DIV/0!</v>
      </c>
      <c r="X66" s="202">
        <v>0</v>
      </c>
      <c r="Y66" s="168"/>
      <c r="Z66" s="282"/>
    </row>
    <row r="67" spans="1:26" ht="9.75">
      <c r="A67" s="299"/>
      <c r="B67" s="45" t="s">
        <v>99</v>
      </c>
      <c r="C67" s="23">
        <v>12130</v>
      </c>
      <c r="D67" s="23">
        <v>7545</v>
      </c>
      <c r="E67" s="135">
        <f t="shared" si="31"/>
        <v>62.20115416323166</v>
      </c>
      <c r="F67" s="162">
        <v>1094</v>
      </c>
      <c r="G67" s="25">
        <f t="shared" si="18"/>
        <v>14.499668654738237</v>
      </c>
      <c r="H67" s="26">
        <f t="shared" si="46"/>
        <v>26</v>
      </c>
      <c r="I67" s="27">
        <f t="shared" si="20"/>
        <v>2.376599634369287</v>
      </c>
      <c r="J67" s="26">
        <f t="shared" si="47"/>
        <v>25</v>
      </c>
      <c r="K67" s="27">
        <f t="shared" si="22"/>
        <v>96.15384615384616</v>
      </c>
      <c r="L67" s="23">
        <v>11</v>
      </c>
      <c r="M67" s="23">
        <v>1</v>
      </c>
      <c r="N67" s="23">
        <v>0</v>
      </c>
      <c r="O67" s="23">
        <v>13</v>
      </c>
      <c r="P67" s="23">
        <v>0</v>
      </c>
      <c r="Q67" s="28">
        <v>1</v>
      </c>
      <c r="R67" s="29">
        <f t="shared" si="32"/>
        <v>0.09140767824497258</v>
      </c>
      <c r="S67" s="205">
        <v>1</v>
      </c>
      <c r="T67" s="100">
        <f t="shared" si="33"/>
        <v>0.09140767824497258</v>
      </c>
      <c r="U67" s="24">
        <f t="shared" si="34"/>
        <v>4</v>
      </c>
      <c r="V67" s="23">
        <v>259</v>
      </c>
      <c r="W67" s="216">
        <f t="shared" si="35"/>
        <v>23.6745886654479</v>
      </c>
      <c r="X67" s="205">
        <v>591</v>
      </c>
      <c r="Y67" s="279">
        <v>1048</v>
      </c>
      <c r="Z67" s="289">
        <f>(F67+Y67-X67)/D67*100</f>
        <v>20.556660039761432</v>
      </c>
    </row>
    <row r="68" spans="1:26" ht="9.75">
      <c r="A68" s="299" t="s">
        <v>24</v>
      </c>
      <c r="B68" s="46" t="s">
        <v>78</v>
      </c>
      <c r="C68" s="30">
        <f>755+3392</f>
        <v>4147</v>
      </c>
      <c r="D68" s="143">
        <f>288+1435</f>
        <v>1723</v>
      </c>
      <c r="E68" s="137">
        <f t="shared" si="31"/>
        <v>41.54810706534845</v>
      </c>
      <c r="F68" s="161">
        <v>265</v>
      </c>
      <c r="G68" s="144">
        <f t="shared" si="18"/>
        <v>15.380150899593731</v>
      </c>
      <c r="H68" s="61">
        <f t="shared" si="46"/>
        <v>2</v>
      </c>
      <c r="I68" s="68">
        <f t="shared" si="20"/>
        <v>0.7547169811320755</v>
      </c>
      <c r="J68" s="61">
        <f t="shared" si="47"/>
        <v>2</v>
      </c>
      <c r="K68" s="68">
        <f t="shared" si="22"/>
        <v>100</v>
      </c>
      <c r="L68" s="143">
        <v>0</v>
      </c>
      <c r="M68" s="143">
        <v>0</v>
      </c>
      <c r="N68" s="143">
        <v>0</v>
      </c>
      <c r="O68" s="143">
        <v>2</v>
      </c>
      <c r="P68" s="143">
        <v>0</v>
      </c>
      <c r="Q68" s="145">
        <v>0</v>
      </c>
      <c r="R68" s="167">
        <f t="shared" si="32"/>
        <v>0</v>
      </c>
      <c r="S68" s="204">
        <v>0</v>
      </c>
      <c r="T68" s="146">
        <f t="shared" si="33"/>
        <v>0</v>
      </c>
      <c r="U68" s="147">
        <f t="shared" si="34"/>
        <v>0</v>
      </c>
      <c r="V68" s="143">
        <v>70</v>
      </c>
      <c r="W68" s="215">
        <f t="shared" si="35"/>
        <v>26.41509433962264</v>
      </c>
      <c r="X68" s="204">
        <v>177</v>
      </c>
      <c r="Y68" s="280"/>
      <c r="Z68" s="283"/>
    </row>
    <row r="69" spans="1:26" ht="9.75">
      <c r="A69" s="299"/>
      <c r="B69" s="138" t="s">
        <v>101</v>
      </c>
      <c r="C69" s="194"/>
      <c r="D69" s="195"/>
      <c r="E69" s="196"/>
      <c r="F69" s="159">
        <v>0</v>
      </c>
      <c r="G69" s="197"/>
      <c r="H69" s="60">
        <f t="shared" si="46"/>
        <v>0</v>
      </c>
      <c r="I69" s="67" t="e">
        <f t="shared" si="20"/>
        <v>#DIV/0!</v>
      </c>
      <c r="J69" s="60">
        <f t="shared" si="47"/>
        <v>0</v>
      </c>
      <c r="K69" s="67" t="e">
        <f t="shared" si="22"/>
        <v>#DIV/0!</v>
      </c>
      <c r="L69" s="131">
        <v>0</v>
      </c>
      <c r="M69" s="131">
        <v>0</v>
      </c>
      <c r="N69" s="131">
        <v>0</v>
      </c>
      <c r="O69" s="131">
        <v>0</v>
      </c>
      <c r="P69" s="131">
        <v>0</v>
      </c>
      <c r="Q69" s="132">
        <v>0</v>
      </c>
      <c r="R69" s="166" t="e">
        <f aca="true" t="shared" si="48" ref="R69:R100">M69/F69*100</f>
        <v>#DIV/0!</v>
      </c>
      <c r="S69" s="202">
        <v>0</v>
      </c>
      <c r="T69" s="133" t="e">
        <f aca="true" t="shared" si="49" ref="T69:T100">S69/F69*100</f>
        <v>#DIV/0!</v>
      </c>
      <c r="U69" s="134" t="e">
        <f aca="true" t="shared" si="50" ref="U69:U100">M69/J69*100</f>
        <v>#DIV/0!</v>
      </c>
      <c r="V69" s="131">
        <v>0</v>
      </c>
      <c r="W69" s="213" t="e">
        <f aca="true" t="shared" si="51" ref="W69:W100">V69/F69*100</f>
        <v>#DIV/0!</v>
      </c>
      <c r="X69" s="202">
        <v>0</v>
      </c>
      <c r="Y69" s="168"/>
      <c r="Z69" s="282"/>
    </row>
    <row r="70" spans="1:26" ht="9.75">
      <c r="A70" s="299"/>
      <c r="B70" s="45" t="s">
        <v>99</v>
      </c>
      <c r="C70" s="23">
        <v>3392</v>
      </c>
      <c r="D70" s="23">
        <v>1435</v>
      </c>
      <c r="E70" s="135">
        <f t="shared" si="31"/>
        <v>42.30542452830189</v>
      </c>
      <c r="F70" s="162">
        <v>454</v>
      </c>
      <c r="G70" s="25">
        <f t="shared" si="18"/>
        <v>31.637630662020904</v>
      </c>
      <c r="H70" s="26">
        <f t="shared" si="46"/>
        <v>14</v>
      </c>
      <c r="I70" s="27">
        <f t="shared" si="20"/>
        <v>3.0837004405286343</v>
      </c>
      <c r="J70" s="26">
        <f t="shared" si="47"/>
        <v>13</v>
      </c>
      <c r="K70" s="27">
        <f t="shared" si="22"/>
        <v>92.85714285714286</v>
      </c>
      <c r="L70" s="23">
        <v>1</v>
      </c>
      <c r="M70" s="23">
        <v>0</v>
      </c>
      <c r="N70" s="23">
        <v>1</v>
      </c>
      <c r="O70" s="23">
        <v>11</v>
      </c>
      <c r="P70" s="23">
        <v>0</v>
      </c>
      <c r="Q70" s="28">
        <v>1</v>
      </c>
      <c r="R70" s="29">
        <f t="shared" si="48"/>
        <v>0</v>
      </c>
      <c r="S70" s="205">
        <v>0</v>
      </c>
      <c r="T70" s="100">
        <f t="shared" si="49"/>
        <v>0</v>
      </c>
      <c r="U70" s="24">
        <f t="shared" si="50"/>
        <v>0</v>
      </c>
      <c r="V70" s="23">
        <v>80</v>
      </c>
      <c r="W70" s="216">
        <f t="shared" si="51"/>
        <v>17.62114537444934</v>
      </c>
      <c r="X70" s="205">
        <v>336</v>
      </c>
      <c r="Y70" s="279">
        <v>459</v>
      </c>
      <c r="Z70" s="289">
        <f>(F70+Y70-X70)/D70*100</f>
        <v>40.20905923344948</v>
      </c>
    </row>
    <row r="71" spans="1:26" ht="9.75">
      <c r="A71" s="299" t="s">
        <v>25</v>
      </c>
      <c r="B71" s="46" t="s">
        <v>78</v>
      </c>
      <c r="C71" s="30">
        <f>824+5550</f>
        <v>6374</v>
      </c>
      <c r="D71" s="143">
        <f>4+138</f>
        <v>142</v>
      </c>
      <c r="E71" s="137">
        <f aca="true" t="shared" si="52" ref="E71:E100">D71/C71*100</f>
        <v>2.227800439284594</v>
      </c>
      <c r="F71" s="161">
        <v>100</v>
      </c>
      <c r="G71" s="144">
        <f t="shared" si="18"/>
        <v>70.4225352112676</v>
      </c>
      <c r="H71" s="61">
        <f t="shared" si="46"/>
        <v>4</v>
      </c>
      <c r="I71" s="68">
        <f t="shared" si="20"/>
        <v>4</v>
      </c>
      <c r="J71" s="61">
        <f t="shared" si="47"/>
        <v>0</v>
      </c>
      <c r="K71" s="68">
        <f t="shared" si="22"/>
        <v>0</v>
      </c>
      <c r="L71" s="143">
        <v>0</v>
      </c>
      <c r="M71" s="143">
        <v>0</v>
      </c>
      <c r="N71" s="143">
        <v>0</v>
      </c>
      <c r="O71" s="143">
        <v>0</v>
      </c>
      <c r="P71" s="143">
        <v>0</v>
      </c>
      <c r="Q71" s="145">
        <v>4</v>
      </c>
      <c r="R71" s="167">
        <f t="shared" si="48"/>
        <v>0</v>
      </c>
      <c r="S71" s="204">
        <v>0</v>
      </c>
      <c r="T71" s="146">
        <f t="shared" si="49"/>
        <v>0</v>
      </c>
      <c r="U71" s="147" t="e">
        <f t="shared" si="50"/>
        <v>#DIV/0!</v>
      </c>
      <c r="V71" s="143">
        <v>17</v>
      </c>
      <c r="W71" s="215">
        <f t="shared" si="51"/>
        <v>17</v>
      </c>
      <c r="X71" s="204">
        <v>0</v>
      </c>
      <c r="Y71" s="280"/>
      <c r="Z71" s="283"/>
    </row>
    <row r="72" spans="1:26" ht="9.75">
      <c r="A72" s="299"/>
      <c r="B72" s="138" t="s">
        <v>101</v>
      </c>
      <c r="C72" s="194"/>
      <c r="D72" s="195"/>
      <c r="E72" s="196"/>
      <c r="F72" s="159">
        <v>0</v>
      </c>
      <c r="G72" s="197"/>
      <c r="H72" s="60">
        <f t="shared" si="46"/>
        <v>0</v>
      </c>
      <c r="I72" s="67" t="e">
        <f t="shared" si="20"/>
        <v>#DIV/0!</v>
      </c>
      <c r="J72" s="60">
        <f t="shared" si="47"/>
        <v>0</v>
      </c>
      <c r="K72" s="67" t="e">
        <f t="shared" si="22"/>
        <v>#DIV/0!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2">
        <v>0</v>
      </c>
      <c r="R72" s="166" t="e">
        <f t="shared" si="48"/>
        <v>#DIV/0!</v>
      </c>
      <c r="S72" s="202">
        <v>0</v>
      </c>
      <c r="T72" s="133" t="e">
        <f t="shared" si="49"/>
        <v>#DIV/0!</v>
      </c>
      <c r="U72" s="134" t="e">
        <f t="shared" si="50"/>
        <v>#DIV/0!</v>
      </c>
      <c r="V72" s="131">
        <v>0</v>
      </c>
      <c r="W72" s="213" t="e">
        <f t="shared" si="51"/>
        <v>#DIV/0!</v>
      </c>
      <c r="X72" s="202">
        <v>0</v>
      </c>
      <c r="Y72" s="168"/>
      <c r="Z72" s="282"/>
    </row>
    <row r="73" spans="1:26" ht="10.5" thickBot="1">
      <c r="A73" s="305"/>
      <c r="B73" s="47" t="s">
        <v>99</v>
      </c>
      <c r="C73" s="31">
        <v>5550</v>
      </c>
      <c r="D73" s="31">
        <v>721</v>
      </c>
      <c r="E73" s="139">
        <f t="shared" si="52"/>
        <v>12.99099099099099</v>
      </c>
      <c r="F73" s="160">
        <v>211</v>
      </c>
      <c r="G73" s="140">
        <f t="shared" si="18"/>
        <v>29.26490984743412</v>
      </c>
      <c r="H73" s="141">
        <f t="shared" si="46"/>
        <v>105</v>
      </c>
      <c r="I73" s="142">
        <f t="shared" si="20"/>
        <v>49.763033175355446</v>
      </c>
      <c r="J73" s="141">
        <f t="shared" si="47"/>
        <v>0</v>
      </c>
      <c r="K73" s="142">
        <f t="shared" si="22"/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3">
        <v>105</v>
      </c>
      <c r="R73" s="34">
        <f t="shared" si="48"/>
        <v>0</v>
      </c>
      <c r="S73" s="203">
        <v>0</v>
      </c>
      <c r="T73" s="101">
        <f t="shared" si="49"/>
        <v>0</v>
      </c>
      <c r="U73" s="32" t="e">
        <f t="shared" si="50"/>
        <v>#DIV/0!</v>
      </c>
      <c r="V73" s="31">
        <v>107</v>
      </c>
      <c r="W73" s="214">
        <f t="shared" si="51"/>
        <v>50.71090047393365</v>
      </c>
      <c r="X73" s="203">
        <v>0</v>
      </c>
      <c r="Y73" s="279">
        <v>379</v>
      </c>
      <c r="Z73" s="289">
        <f>(F73+Y73-X73)/D73*100</f>
        <v>81.83079056865465</v>
      </c>
    </row>
    <row r="74" spans="1:26" ht="9.75">
      <c r="A74" s="302" t="s">
        <v>40</v>
      </c>
      <c r="B74" s="43" t="s">
        <v>78</v>
      </c>
      <c r="C74" s="20">
        <f aca="true" t="shared" si="53" ref="C74:D76">SUM(C59,C62,C65,C68,C71)</f>
        <v>64536</v>
      </c>
      <c r="D74" s="20">
        <f t="shared" si="53"/>
        <v>32781</v>
      </c>
      <c r="E74" s="104">
        <f t="shared" si="52"/>
        <v>50.79490516920788</v>
      </c>
      <c r="F74" s="163">
        <f>SUM(F59,F62,F65,F68,F71)</f>
        <v>1829</v>
      </c>
      <c r="G74" s="123">
        <f t="shared" si="18"/>
        <v>5.579451511546322</v>
      </c>
      <c r="H74" s="124">
        <f t="shared" si="46"/>
        <v>103</v>
      </c>
      <c r="I74" s="125">
        <f t="shared" si="20"/>
        <v>5.6314926189174415</v>
      </c>
      <c r="J74" s="124">
        <f t="shared" si="47"/>
        <v>88</v>
      </c>
      <c r="K74" s="125">
        <f t="shared" si="22"/>
        <v>85.43689320388349</v>
      </c>
      <c r="L74" s="20">
        <f aca="true" t="shared" si="54" ref="L74:Q76">SUM(L59,L62,L65,L68,L71)</f>
        <v>36</v>
      </c>
      <c r="M74" s="20">
        <f t="shared" si="54"/>
        <v>5</v>
      </c>
      <c r="N74" s="20">
        <f t="shared" si="54"/>
        <v>0</v>
      </c>
      <c r="O74" s="20">
        <f t="shared" si="54"/>
        <v>47</v>
      </c>
      <c r="P74" s="20">
        <f t="shared" si="54"/>
        <v>3</v>
      </c>
      <c r="Q74" s="21">
        <f t="shared" si="54"/>
        <v>12</v>
      </c>
      <c r="R74" s="127">
        <f t="shared" si="48"/>
        <v>0.2733734281027884</v>
      </c>
      <c r="S74" s="198">
        <f>SUM(S59,S62,S65,S68,S71)</f>
        <v>3</v>
      </c>
      <c r="T74" s="128">
        <f t="shared" si="49"/>
        <v>0.16402405686167304</v>
      </c>
      <c r="U74" s="129">
        <f t="shared" si="50"/>
        <v>5.681818181818182</v>
      </c>
      <c r="V74" s="20">
        <f>SUM(V59,V62,V65,V68,V71)</f>
        <v>310</v>
      </c>
      <c r="W74" s="209">
        <f t="shared" si="51"/>
        <v>16.94915254237288</v>
      </c>
      <c r="X74" s="198">
        <f>SUM(X59,X62,X65,X68,X71)</f>
        <v>1250</v>
      </c>
      <c r="Y74" s="277"/>
      <c r="Z74" s="281"/>
    </row>
    <row r="75" spans="1:26" ht="9.75">
      <c r="A75" s="303"/>
      <c r="B75" s="105" t="s">
        <v>98</v>
      </c>
      <c r="C75" s="195"/>
      <c r="D75" s="195"/>
      <c r="E75" s="196"/>
      <c r="F75" s="156">
        <f>SUM(F60,F63,F66,F69,F72)</f>
        <v>221</v>
      </c>
      <c r="G75" s="197"/>
      <c r="H75" s="107">
        <f t="shared" si="46"/>
        <v>7</v>
      </c>
      <c r="I75" s="108">
        <f t="shared" si="20"/>
        <v>3.167420814479638</v>
      </c>
      <c r="J75" s="107">
        <f t="shared" si="47"/>
        <v>7</v>
      </c>
      <c r="K75" s="108">
        <f>J75/H75*100</f>
        <v>100</v>
      </c>
      <c r="L75" s="106">
        <f t="shared" si="54"/>
        <v>3</v>
      </c>
      <c r="M75" s="106">
        <f t="shared" si="54"/>
        <v>0</v>
      </c>
      <c r="N75" s="106">
        <f t="shared" si="54"/>
        <v>0</v>
      </c>
      <c r="O75" s="106">
        <f t="shared" si="54"/>
        <v>4</v>
      </c>
      <c r="P75" s="106">
        <f t="shared" si="54"/>
        <v>0</v>
      </c>
      <c r="Q75" s="109">
        <f t="shared" si="54"/>
        <v>0</v>
      </c>
      <c r="R75" s="110">
        <f t="shared" si="48"/>
        <v>0</v>
      </c>
      <c r="S75" s="199">
        <f>SUM(S60,S63,S66,S69,S72)</f>
        <v>0</v>
      </c>
      <c r="T75" s="111">
        <f t="shared" si="49"/>
        <v>0</v>
      </c>
      <c r="U75" s="112">
        <f t="shared" si="50"/>
        <v>0</v>
      </c>
      <c r="V75" s="106">
        <f>SUM(V60,V63,V66,V69,V72)</f>
        <v>58</v>
      </c>
      <c r="W75" s="210">
        <f t="shared" si="51"/>
        <v>26.244343891402718</v>
      </c>
      <c r="X75" s="199">
        <f>SUM(X60,X63,X66,X69,X72)</f>
        <v>0</v>
      </c>
      <c r="Y75" s="278"/>
      <c r="Z75" s="282"/>
    </row>
    <row r="76" spans="1:26" ht="10.5" thickBot="1">
      <c r="A76" s="304"/>
      <c r="B76" s="113" t="s">
        <v>99</v>
      </c>
      <c r="C76" s="40">
        <f t="shared" si="53"/>
        <v>55116</v>
      </c>
      <c r="D76" s="40">
        <f t="shared" si="53"/>
        <v>30031</v>
      </c>
      <c r="E76" s="130">
        <f t="shared" si="52"/>
        <v>54.486900355613614</v>
      </c>
      <c r="F76" s="164">
        <f>SUM(F61,F64,F67,F70,F73)</f>
        <v>2700</v>
      </c>
      <c r="G76" s="115">
        <f t="shared" si="18"/>
        <v>8.990709600079917</v>
      </c>
      <c r="H76" s="116">
        <f t="shared" si="46"/>
        <v>228</v>
      </c>
      <c r="I76" s="117">
        <f t="shared" si="20"/>
        <v>8.444444444444445</v>
      </c>
      <c r="J76" s="116">
        <f t="shared" si="47"/>
        <v>118</v>
      </c>
      <c r="K76" s="117">
        <f>J76/H76*100</f>
        <v>51.75438596491229</v>
      </c>
      <c r="L76" s="40">
        <f t="shared" si="54"/>
        <v>42</v>
      </c>
      <c r="M76" s="40">
        <f t="shared" si="54"/>
        <v>7</v>
      </c>
      <c r="N76" s="40">
        <f t="shared" si="54"/>
        <v>1</v>
      </c>
      <c r="O76" s="40">
        <f t="shared" si="54"/>
        <v>68</v>
      </c>
      <c r="P76" s="40">
        <f t="shared" si="54"/>
        <v>0</v>
      </c>
      <c r="Q76" s="41">
        <f t="shared" si="54"/>
        <v>110</v>
      </c>
      <c r="R76" s="119">
        <f t="shared" si="48"/>
        <v>0.25925925925925924</v>
      </c>
      <c r="S76" s="200">
        <f>SUM(S61,S64,S67,S70,S73)</f>
        <v>1</v>
      </c>
      <c r="T76" s="120">
        <f t="shared" si="49"/>
        <v>0.037037037037037035</v>
      </c>
      <c r="U76" s="121">
        <f t="shared" si="50"/>
        <v>5.932203389830509</v>
      </c>
      <c r="V76" s="40">
        <f>SUM(V61,V64,V67,V70,V73)</f>
        <v>802</v>
      </c>
      <c r="W76" s="211">
        <f t="shared" si="51"/>
        <v>29.703703703703706</v>
      </c>
      <c r="X76" s="200">
        <f>SUM(X61,X64,X67,X70,X73)</f>
        <v>1390</v>
      </c>
      <c r="Y76" s="200">
        <f>SUM(Y61,Y64,Y67,Y70,Y73)</f>
        <v>3045</v>
      </c>
      <c r="Z76" s="288">
        <f>(F76+Y76-X76)/D76*100</f>
        <v>14.50168159568446</v>
      </c>
    </row>
    <row r="77" spans="1:26" ht="9.75">
      <c r="A77" s="300" t="s">
        <v>88</v>
      </c>
      <c r="B77" s="44" t="s">
        <v>78</v>
      </c>
      <c r="C77" s="22">
        <f>1539+12838</f>
        <v>14377</v>
      </c>
      <c r="D77" s="148">
        <f>573+7230</f>
        <v>7803</v>
      </c>
      <c r="E77" s="136">
        <f t="shared" si="52"/>
        <v>54.27418793906935</v>
      </c>
      <c r="F77" s="158">
        <v>594</v>
      </c>
      <c r="G77" s="149">
        <f aca="true" t="shared" si="55" ref="G77:G97">F77/D77*100</f>
        <v>7.612456747404845</v>
      </c>
      <c r="H77" s="150">
        <f aca="true" t="shared" si="56" ref="H77:H82">SUM(L77:Q77)</f>
        <v>6</v>
      </c>
      <c r="I77" s="151">
        <f aca="true" t="shared" si="57" ref="I77:I112">H77/F77*100</f>
        <v>1.0101010101010102</v>
      </c>
      <c r="J77" s="150">
        <f aca="true" t="shared" si="58" ref="J77:J127">SUM(L77:O77)</f>
        <v>5</v>
      </c>
      <c r="K77" s="151">
        <f aca="true" t="shared" si="59" ref="K77:K127">J77/H77*100</f>
        <v>83.33333333333334</v>
      </c>
      <c r="L77" s="148">
        <v>3</v>
      </c>
      <c r="M77" s="148">
        <v>0</v>
      </c>
      <c r="N77" s="148">
        <v>0</v>
      </c>
      <c r="O77" s="148">
        <v>2</v>
      </c>
      <c r="P77" s="148">
        <v>0</v>
      </c>
      <c r="Q77" s="152">
        <v>1</v>
      </c>
      <c r="R77" s="165">
        <f t="shared" si="48"/>
        <v>0</v>
      </c>
      <c r="S77" s="201">
        <v>0</v>
      </c>
      <c r="T77" s="153">
        <f t="shared" si="49"/>
        <v>0</v>
      </c>
      <c r="U77" s="154">
        <f t="shared" si="50"/>
        <v>0</v>
      </c>
      <c r="V77" s="148">
        <v>281</v>
      </c>
      <c r="W77" s="212">
        <f t="shared" si="51"/>
        <v>47.30639730639731</v>
      </c>
      <c r="X77" s="201">
        <v>376</v>
      </c>
      <c r="Y77" s="280"/>
      <c r="Z77" s="283"/>
    </row>
    <row r="78" spans="1:26" ht="9.75">
      <c r="A78" s="297"/>
      <c r="B78" s="138" t="s">
        <v>101</v>
      </c>
      <c r="C78" s="194"/>
      <c r="D78" s="195"/>
      <c r="E78" s="196"/>
      <c r="F78" s="159">
        <v>0</v>
      </c>
      <c r="G78" s="197"/>
      <c r="H78" s="60">
        <f t="shared" si="56"/>
        <v>0</v>
      </c>
      <c r="I78" s="67" t="e">
        <f t="shared" si="57"/>
        <v>#DIV/0!</v>
      </c>
      <c r="J78" s="60">
        <f t="shared" si="58"/>
        <v>0</v>
      </c>
      <c r="K78" s="67" t="e">
        <f t="shared" si="59"/>
        <v>#DIV/0!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2">
        <v>0</v>
      </c>
      <c r="R78" s="166" t="e">
        <f t="shared" si="48"/>
        <v>#DIV/0!</v>
      </c>
      <c r="S78" s="202">
        <v>0</v>
      </c>
      <c r="T78" s="133" t="e">
        <f t="shared" si="49"/>
        <v>#DIV/0!</v>
      </c>
      <c r="U78" s="134" t="e">
        <f t="shared" si="50"/>
        <v>#DIV/0!</v>
      </c>
      <c r="V78" s="131">
        <v>0</v>
      </c>
      <c r="W78" s="213" t="e">
        <f t="shared" si="51"/>
        <v>#DIV/0!</v>
      </c>
      <c r="X78" s="202">
        <v>0</v>
      </c>
      <c r="Y78" s="168"/>
      <c r="Z78" s="282"/>
    </row>
    <row r="79" spans="1:26" ht="10.5" thickBot="1">
      <c r="A79" s="301"/>
      <c r="B79" s="47" t="s">
        <v>99</v>
      </c>
      <c r="C79" s="31">
        <v>12838</v>
      </c>
      <c r="D79" s="31">
        <v>7230</v>
      </c>
      <c r="E79" s="139">
        <f t="shared" si="52"/>
        <v>56.31718336189437</v>
      </c>
      <c r="F79" s="160">
        <v>892</v>
      </c>
      <c r="G79" s="140">
        <f t="shared" si="55"/>
        <v>12.337482710926695</v>
      </c>
      <c r="H79" s="141">
        <f t="shared" si="56"/>
        <v>33</v>
      </c>
      <c r="I79" s="142">
        <f t="shared" si="57"/>
        <v>3.6995515695067267</v>
      </c>
      <c r="J79" s="141">
        <f t="shared" si="58"/>
        <v>30</v>
      </c>
      <c r="K79" s="142">
        <f t="shared" si="59"/>
        <v>90.9090909090909</v>
      </c>
      <c r="L79" s="31">
        <v>9</v>
      </c>
      <c r="M79" s="31">
        <v>1</v>
      </c>
      <c r="N79" s="31">
        <v>0</v>
      </c>
      <c r="O79" s="31">
        <v>20</v>
      </c>
      <c r="P79" s="31">
        <v>1</v>
      </c>
      <c r="Q79" s="33">
        <v>2</v>
      </c>
      <c r="R79" s="34">
        <f t="shared" si="48"/>
        <v>0.11210762331838565</v>
      </c>
      <c r="S79" s="203">
        <v>0</v>
      </c>
      <c r="T79" s="101">
        <f t="shared" si="49"/>
        <v>0</v>
      </c>
      <c r="U79" s="32">
        <f t="shared" si="50"/>
        <v>3.3333333333333335</v>
      </c>
      <c r="V79" s="31">
        <v>267</v>
      </c>
      <c r="W79" s="214">
        <f t="shared" si="51"/>
        <v>29.932735426008968</v>
      </c>
      <c r="X79" s="203">
        <v>458</v>
      </c>
      <c r="Y79" s="279">
        <v>776</v>
      </c>
      <c r="Z79" s="289">
        <f>(F79+Y79-X79)/D79*100</f>
        <v>16.735822959889347</v>
      </c>
    </row>
    <row r="80" spans="1:26" ht="9.75">
      <c r="A80" s="302" t="s">
        <v>41</v>
      </c>
      <c r="B80" s="43" t="s">
        <v>78</v>
      </c>
      <c r="C80" s="20">
        <f>C77</f>
        <v>14377</v>
      </c>
      <c r="D80" s="20">
        <f>D77</f>
        <v>7803</v>
      </c>
      <c r="E80" s="104">
        <f t="shared" si="52"/>
        <v>54.27418793906935</v>
      </c>
      <c r="F80" s="163">
        <f>F77</f>
        <v>594</v>
      </c>
      <c r="G80" s="123">
        <f t="shared" si="55"/>
        <v>7.612456747404845</v>
      </c>
      <c r="H80" s="124">
        <f t="shared" si="56"/>
        <v>6</v>
      </c>
      <c r="I80" s="125">
        <f t="shared" si="57"/>
        <v>1.0101010101010102</v>
      </c>
      <c r="J80" s="124">
        <f t="shared" si="58"/>
        <v>5</v>
      </c>
      <c r="K80" s="125">
        <f t="shared" si="59"/>
        <v>83.33333333333334</v>
      </c>
      <c r="L80" s="20">
        <f aca="true" t="shared" si="60" ref="L80:Q82">L77</f>
        <v>3</v>
      </c>
      <c r="M80" s="20">
        <f t="shared" si="60"/>
        <v>0</v>
      </c>
      <c r="N80" s="20">
        <f t="shared" si="60"/>
        <v>0</v>
      </c>
      <c r="O80" s="20">
        <f t="shared" si="60"/>
        <v>2</v>
      </c>
      <c r="P80" s="20">
        <f t="shared" si="60"/>
        <v>0</v>
      </c>
      <c r="Q80" s="21">
        <f t="shared" si="60"/>
        <v>1</v>
      </c>
      <c r="R80" s="127">
        <f t="shared" si="48"/>
        <v>0</v>
      </c>
      <c r="S80" s="198">
        <f>S77</f>
        <v>0</v>
      </c>
      <c r="T80" s="128">
        <f t="shared" si="49"/>
        <v>0</v>
      </c>
      <c r="U80" s="129">
        <f t="shared" si="50"/>
        <v>0</v>
      </c>
      <c r="V80" s="20">
        <f>V77</f>
        <v>281</v>
      </c>
      <c r="W80" s="209">
        <f t="shared" si="51"/>
        <v>47.30639730639731</v>
      </c>
      <c r="X80" s="198">
        <f>X77</f>
        <v>376</v>
      </c>
      <c r="Y80" s="277"/>
      <c r="Z80" s="281"/>
    </row>
    <row r="81" spans="1:26" ht="9.75">
      <c r="A81" s="303"/>
      <c r="B81" s="105" t="s">
        <v>98</v>
      </c>
      <c r="C81" s="195"/>
      <c r="D81" s="195"/>
      <c r="E81" s="196"/>
      <c r="F81" s="156">
        <f>F78</f>
        <v>0</v>
      </c>
      <c r="G81" s="197"/>
      <c r="H81" s="107">
        <f t="shared" si="56"/>
        <v>0</v>
      </c>
      <c r="I81" s="108" t="e">
        <f t="shared" si="57"/>
        <v>#DIV/0!</v>
      </c>
      <c r="J81" s="107">
        <f t="shared" si="58"/>
        <v>0</v>
      </c>
      <c r="K81" s="108" t="e">
        <f t="shared" si="59"/>
        <v>#DIV/0!</v>
      </c>
      <c r="L81" s="106">
        <f t="shared" si="60"/>
        <v>0</v>
      </c>
      <c r="M81" s="106">
        <f t="shared" si="60"/>
        <v>0</v>
      </c>
      <c r="N81" s="106">
        <f t="shared" si="60"/>
        <v>0</v>
      </c>
      <c r="O81" s="106">
        <f t="shared" si="60"/>
        <v>0</v>
      </c>
      <c r="P81" s="106">
        <f t="shared" si="60"/>
        <v>0</v>
      </c>
      <c r="Q81" s="109">
        <f t="shared" si="60"/>
        <v>0</v>
      </c>
      <c r="R81" s="110" t="e">
        <f t="shared" si="48"/>
        <v>#DIV/0!</v>
      </c>
      <c r="S81" s="199">
        <f>S78</f>
        <v>0</v>
      </c>
      <c r="T81" s="111" t="e">
        <f t="shared" si="49"/>
        <v>#DIV/0!</v>
      </c>
      <c r="U81" s="112" t="e">
        <f t="shared" si="50"/>
        <v>#DIV/0!</v>
      </c>
      <c r="V81" s="106">
        <f>V78</f>
        <v>0</v>
      </c>
      <c r="W81" s="210" t="e">
        <f t="shared" si="51"/>
        <v>#DIV/0!</v>
      </c>
      <c r="X81" s="199">
        <f>X78</f>
        <v>0</v>
      </c>
      <c r="Y81" s="278"/>
      <c r="Z81" s="282"/>
    </row>
    <row r="82" spans="1:26" ht="10.5" thickBot="1">
      <c r="A82" s="304"/>
      <c r="B82" s="113" t="s">
        <v>99</v>
      </c>
      <c r="C82" s="40">
        <f>C79</f>
        <v>12838</v>
      </c>
      <c r="D82" s="40">
        <f>D79</f>
        <v>7230</v>
      </c>
      <c r="E82" s="130">
        <f t="shared" si="52"/>
        <v>56.31718336189437</v>
      </c>
      <c r="F82" s="164">
        <f>F79</f>
        <v>892</v>
      </c>
      <c r="G82" s="115">
        <f t="shared" si="55"/>
        <v>12.337482710926695</v>
      </c>
      <c r="H82" s="116">
        <f t="shared" si="56"/>
        <v>33</v>
      </c>
      <c r="I82" s="117">
        <f t="shared" si="57"/>
        <v>3.6995515695067267</v>
      </c>
      <c r="J82" s="116">
        <f t="shared" si="58"/>
        <v>30</v>
      </c>
      <c r="K82" s="117">
        <f t="shared" si="59"/>
        <v>90.9090909090909</v>
      </c>
      <c r="L82" s="40">
        <f t="shared" si="60"/>
        <v>9</v>
      </c>
      <c r="M82" s="40">
        <f t="shared" si="60"/>
        <v>1</v>
      </c>
      <c r="N82" s="40">
        <f t="shared" si="60"/>
        <v>0</v>
      </c>
      <c r="O82" s="40">
        <f t="shared" si="60"/>
        <v>20</v>
      </c>
      <c r="P82" s="40">
        <f t="shared" si="60"/>
        <v>1</v>
      </c>
      <c r="Q82" s="41">
        <f t="shared" si="60"/>
        <v>2</v>
      </c>
      <c r="R82" s="119">
        <f t="shared" si="48"/>
        <v>0.11210762331838565</v>
      </c>
      <c r="S82" s="200">
        <f>S79</f>
        <v>0</v>
      </c>
      <c r="T82" s="120">
        <f t="shared" si="49"/>
        <v>0</v>
      </c>
      <c r="U82" s="121">
        <f t="shared" si="50"/>
        <v>3.3333333333333335</v>
      </c>
      <c r="V82" s="40">
        <f>V79</f>
        <v>267</v>
      </c>
      <c r="W82" s="211">
        <f t="shared" si="51"/>
        <v>29.932735426008968</v>
      </c>
      <c r="X82" s="200">
        <f>X79</f>
        <v>458</v>
      </c>
      <c r="Y82" s="200">
        <f>Y79</f>
        <v>776</v>
      </c>
      <c r="Z82" s="288">
        <f>(F82+Y82-X82)/D82*100</f>
        <v>16.735822959889347</v>
      </c>
    </row>
    <row r="83" spans="1:26" ht="9.75">
      <c r="A83" s="298" t="s">
        <v>26</v>
      </c>
      <c r="B83" s="44" t="s">
        <v>78</v>
      </c>
      <c r="C83" s="22">
        <f>1563+12868</f>
        <v>14431</v>
      </c>
      <c r="D83" s="148">
        <f>946+6583</f>
        <v>7529</v>
      </c>
      <c r="E83" s="136">
        <f t="shared" si="52"/>
        <v>52.17240662462754</v>
      </c>
      <c r="F83" s="158">
        <v>514</v>
      </c>
      <c r="G83" s="149">
        <f t="shared" si="55"/>
        <v>6.82693584805419</v>
      </c>
      <c r="H83" s="150">
        <f aca="true" t="shared" si="61" ref="H83:H88">SUM(L83:Q83)</f>
        <v>31</v>
      </c>
      <c r="I83" s="151">
        <f t="shared" si="57"/>
        <v>6.031128404669261</v>
      </c>
      <c r="J83" s="150">
        <f t="shared" si="58"/>
        <v>23</v>
      </c>
      <c r="K83" s="151">
        <f t="shared" si="59"/>
        <v>74.19354838709677</v>
      </c>
      <c r="L83" s="148">
        <v>10</v>
      </c>
      <c r="M83" s="148">
        <v>0</v>
      </c>
      <c r="N83" s="148">
        <v>0</v>
      </c>
      <c r="O83" s="148">
        <v>13</v>
      </c>
      <c r="P83" s="148">
        <v>8</v>
      </c>
      <c r="Q83" s="152">
        <v>0</v>
      </c>
      <c r="R83" s="165">
        <f t="shared" si="48"/>
        <v>0</v>
      </c>
      <c r="S83" s="201">
        <v>0</v>
      </c>
      <c r="T83" s="153">
        <f t="shared" si="49"/>
        <v>0</v>
      </c>
      <c r="U83" s="154">
        <f t="shared" si="50"/>
        <v>0</v>
      </c>
      <c r="V83" s="148">
        <v>117</v>
      </c>
      <c r="W83" s="212">
        <f t="shared" si="51"/>
        <v>22.762645914396888</v>
      </c>
      <c r="X83" s="201">
        <v>0</v>
      </c>
      <c r="Y83" s="280"/>
      <c r="Z83" s="283"/>
    </row>
    <row r="84" spans="1:26" ht="9.75">
      <c r="A84" s="299"/>
      <c r="B84" s="138" t="s">
        <v>101</v>
      </c>
      <c r="C84" s="194"/>
      <c r="D84" s="195"/>
      <c r="E84" s="196"/>
      <c r="F84" s="159">
        <v>0</v>
      </c>
      <c r="G84" s="197"/>
      <c r="H84" s="60">
        <f t="shared" si="61"/>
        <v>0</v>
      </c>
      <c r="I84" s="67" t="e">
        <f t="shared" si="57"/>
        <v>#DIV/0!</v>
      </c>
      <c r="J84" s="60">
        <f t="shared" si="58"/>
        <v>0</v>
      </c>
      <c r="K84" s="67" t="e">
        <f t="shared" si="59"/>
        <v>#DIV/0!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2">
        <v>0</v>
      </c>
      <c r="R84" s="166" t="e">
        <f t="shared" si="48"/>
        <v>#DIV/0!</v>
      </c>
      <c r="S84" s="202">
        <v>0</v>
      </c>
      <c r="T84" s="133" t="e">
        <f t="shared" si="49"/>
        <v>#DIV/0!</v>
      </c>
      <c r="U84" s="134" t="e">
        <f t="shared" si="50"/>
        <v>#DIV/0!</v>
      </c>
      <c r="V84" s="131">
        <v>0</v>
      </c>
      <c r="W84" s="213" t="e">
        <f t="shared" si="51"/>
        <v>#DIV/0!</v>
      </c>
      <c r="X84" s="202">
        <v>0</v>
      </c>
      <c r="Y84" s="168"/>
      <c r="Z84" s="282"/>
    </row>
    <row r="85" spans="1:26" ht="10.5" thickBot="1">
      <c r="A85" s="305"/>
      <c r="B85" s="47" t="s">
        <v>99</v>
      </c>
      <c r="C85" s="31">
        <v>12868</v>
      </c>
      <c r="D85" s="31">
        <v>6583</v>
      </c>
      <c r="E85" s="139">
        <f t="shared" si="52"/>
        <v>51.15791109729562</v>
      </c>
      <c r="F85" s="160">
        <v>1685</v>
      </c>
      <c r="G85" s="140">
        <f t="shared" si="55"/>
        <v>25.596232720644085</v>
      </c>
      <c r="H85" s="141">
        <f t="shared" si="61"/>
        <v>101</v>
      </c>
      <c r="I85" s="142">
        <f t="shared" si="57"/>
        <v>5.99406528189911</v>
      </c>
      <c r="J85" s="141">
        <f t="shared" si="58"/>
        <v>79</v>
      </c>
      <c r="K85" s="142">
        <f t="shared" si="59"/>
        <v>78.21782178217822</v>
      </c>
      <c r="L85" s="31">
        <v>25</v>
      </c>
      <c r="M85" s="31">
        <v>1</v>
      </c>
      <c r="N85" s="31">
        <v>0</v>
      </c>
      <c r="O85" s="31">
        <v>53</v>
      </c>
      <c r="P85" s="31">
        <v>22</v>
      </c>
      <c r="Q85" s="33">
        <v>0</v>
      </c>
      <c r="R85" s="34">
        <f t="shared" si="48"/>
        <v>0.05934718100890207</v>
      </c>
      <c r="S85" s="203">
        <v>0</v>
      </c>
      <c r="T85" s="101">
        <f t="shared" si="49"/>
        <v>0</v>
      </c>
      <c r="U85" s="32">
        <f t="shared" si="50"/>
        <v>1.2658227848101267</v>
      </c>
      <c r="V85" s="31">
        <v>252</v>
      </c>
      <c r="W85" s="214">
        <f t="shared" si="51"/>
        <v>14.955489614243323</v>
      </c>
      <c r="X85" s="203">
        <v>1088</v>
      </c>
      <c r="Y85" s="279">
        <v>1738</v>
      </c>
      <c r="Z85" s="289">
        <f>(F85+Y85-X85)/D85*100</f>
        <v>35.470150387361386</v>
      </c>
    </row>
    <row r="86" spans="1:26" ht="9.75">
      <c r="A86" s="302" t="s">
        <v>42</v>
      </c>
      <c r="B86" s="43" t="s">
        <v>78</v>
      </c>
      <c r="C86" s="122">
        <f aca="true" t="shared" si="62" ref="C86:D88">C83</f>
        <v>14431</v>
      </c>
      <c r="D86" s="122">
        <f t="shared" si="62"/>
        <v>7529</v>
      </c>
      <c r="E86" s="104">
        <f t="shared" si="52"/>
        <v>52.17240662462754</v>
      </c>
      <c r="F86" s="155">
        <f>F83</f>
        <v>514</v>
      </c>
      <c r="G86" s="123">
        <f t="shared" si="55"/>
        <v>6.82693584805419</v>
      </c>
      <c r="H86" s="124">
        <f t="shared" si="61"/>
        <v>31</v>
      </c>
      <c r="I86" s="125">
        <f t="shared" si="57"/>
        <v>6.031128404669261</v>
      </c>
      <c r="J86" s="124">
        <f t="shared" si="58"/>
        <v>23</v>
      </c>
      <c r="K86" s="125">
        <f t="shared" si="59"/>
        <v>74.19354838709677</v>
      </c>
      <c r="L86" s="122">
        <f aca="true" t="shared" si="63" ref="L86:Q86">L83</f>
        <v>10</v>
      </c>
      <c r="M86" s="122">
        <f t="shared" si="63"/>
        <v>0</v>
      </c>
      <c r="N86" s="122">
        <f t="shared" si="63"/>
        <v>0</v>
      </c>
      <c r="O86" s="122">
        <f t="shared" si="63"/>
        <v>13</v>
      </c>
      <c r="P86" s="122">
        <f t="shared" si="63"/>
        <v>8</v>
      </c>
      <c r="Q86" s="126">
        <f t="shared" si="63"/>
        <v>0</v>
      </c>
      <c r="R86" s="127">
        <f t="shared" si="48"/>
        <v>0</v>
      </c>
      <c r="S86" s="206">
        <f>S83</f>
        <v>0</v>
      </c>
      <c r="T86" s="128">
        <f t="shared" si="49"/>
        <v>0</v>
      </c>
      <c r="U86" s="129">
        <f t="shared" si="50"/>
        <v>0</v>
      </c>
      <c r="V86" s="122">
        <f>V83</f>
        <v>117</v>
      </c>
      <c r="W86" s="209">
        <f t="shared" si="51"/>
        <v>22.762645914396888</v>
      </c>
      <c r="X86" s="206">
        <f>X83</f>
        <v>0</v>
      </c>
      <c r="Y86" s="277"/>
      <c r="Z86" s="281"/>
    </row>
    <row r="87" spans="1:26" ht="9.75">
      <c r="A87" s="303"/>
      <c r="B87" s="105" t="s">
        <v>98</v>
      </c>
      <c r="C87" s="195"/>
      <c r="D87" s="195"/>
      <c r="E87" s="196"/>
      <c r="F87" s="156">
        <f>F84</f>
        <v>0</v>
      </c>
      <c r="G87" s="197"/>
      <c r="H87" s="107">
        <f t="shared" si="61"/>
        <v>0</v>
      </c>
      <c r="I87" s="108" t="e">
        <f t="shared" si="57"/>
        <v>#DIV/0!</v>
      </c>
      <c r="J87" s="107">
        <f t="shared" si="58"/>
        <v>0</v>
      </c>
      <c r="K87" s="108" t="e">
        <f t="shared" si="59"/>
        <v>#DIV/0!</v>
      </c>
      <c r="L87" s="106">
        <f aca="true" t="shared" si="64" ref="L87:Q87">L84</f>
        <v>0</v>
      </c>
      <c r="M87" s="106">
        <f t="shared" si="64"/>
        <v>0</v>
      </c>
      <c r="N87" s="106">
        <f t="shared" si="64"/>
        <v>0</v>
      </c>
      <c r="O87" s="106">
        <f t="shared" si="64"/>
        <v>0</v>
      </c>
      <c r="P87" s="106">
        <f t="shared" si="64"/>
        <v>0</v>
      </c>
      <c r="Q87" s="109">
        <f t="shared" si="64"/>
        <v>0</v>
      </c>
      <c r="R87" s="110" t="e">
        <f t="shared" si="48"/>
        <v>#DIV/0!</v>
      </c>
      <c r="S87" s="199">
        <f>S84</f>
        <v>0</v>
      </c>
      <c r="T87" s="111" t="e">
        <f t="shared" si="49"/>
        <v>#DIV/0!</v>
      </c>
      <c r="U87" s="112" t="e">
        <f t="shared" si="50"/>
        <v>#DIV/0!</v>
      </c>
      <c r="V87" s="106">
        <f>V84</f>
        <v>0</v>
      </c>
      <c r="W87" s="210" t="e">
        <f t="shared" si="51"/>
        <v>#DIV/0!</v>
      </c>
      <c r="X87" s="199">
        <f>X84</f>
        <v>0</v>
      </c>
      <c r="Y87" s="278"/>
      <c r="Z87" s="282"/>
    </row>
    <row r="88" spans="1:26" ht="10.5" thickBot="1">
      <c r="A88" s="304"/>
      <c r="B88" s="113" t="s">
        <v>99</v>
      </c>
      <c r="C88" s="114">
        <f t="shared" si="62"/>
        <v>12868</v>
      </c>
      <c r="D88" s="114">
        <f t="shared" si="62"/>
        <v>6583</v>
      </c>
      <c r="E88" s="130">
        <f t="shared" si="52"/>
        <v>51.15791109729562</v>
      </c>
      <c r="F88" s="157">
        <f>F85</f>
        <v>1685</v>
      </c>
      <c r="G88" s="115">
        <f t="shared" si="55"/>
        <v>25.596232720644085</v>
      </c>
      <c r="H88" s="116">
        <f t="shared" si="61"/>
        <v>101</v>
      </c>
      <c r="I88" s="117">
        <f t="shared" si="57"/>
        <v>5.99406528189911</v>
      </c>
      <c r="J88" s="116">
        <f t="shared" si="58"/>
        <v>79</v>
      </c>
      <c r="K88" s="117">
        <f t="shared" si="59"/>
        <v>78.21782178217822</v>
      </c>
      <c r="L88" s="114">
        <f aca="true" t="shared" si="65" ref="L88:Q88">L85</f>
        <v>25</v>
      </c>
      <c r="M88" s="114">
        <f t="shared" si="65"/>
        <v>1</v>
      </c>
      <c r="N88" s="114">
        <f t="shared" si="65"/>
        <v>0</v>
      </c>
      <c r="O88" s="114">
        <f t="shared" si="65"/>
        <v>53</v>
      </c>
      <c r="P88" s="114">
        <f t="shared" si="65"/>
        <v>22</v>
      </c>
      <c r="Q88" s="118">
        <f t="shared" si="65"/>
        <v>0</v>
      </c>
      <c r="R88" s="119">
        <f t="shared" si="48"/>
        <v>0.05934718100890207</v>
      </c>
      <c r="S88" s="207">
        <f>S85</f>
        <v>0</v>
      </c>
      <c r="T88" s="120">
        <f t="shared" si="49"/>
        <v>0</v>
      </c>
      <c r="U88" s="121">
        <f t="shared" si="50"/>
        <v>1.2658227848101267</v>
      </c>
      <c r="V88" s="114">
        <f>V85</f>
        <v>252</v>
      </c>
      <c r="W88" s="211">
        <f t="shared" si="51"/>
        <v>14.955489614243323</v>
      </c>
      <c r="X88" s="207">
        <f>X85</f>
        <v>1088</v>
      </c>
      <c r="Y88" s="207">
        <f>Y85</f>
        <v>1738</v>
      </c>
      <c r="Z88" s="288">
        <f>(F88+Y88-X88)/D88*100</f>
        <v>35.470150387361386</v>
      </c>
    </row>
    <row r="89" spans="1:26" ht="9.75">
      <c r="A89" s="300" t="s">
        <v>89</v>
      </c>
      <c r="B89" s="44" t="s">
        <v>78</v>
      </c>
      <c r="C89" s="22">
        <f>2450+18088</f>
        <v>20538</v>
      </c>
      <c r="D89" s="148">
        <f>694+11334</f>
        <v>12028</v>
      </c>
      <c r="E89" s="136">
        <f t="shared" si="52"/>
        <v>58.56461193884507</v>
      </c>
      <c r="F89" s="158">
        <v>485</v>
      </c>
      <c r="G89" s="149">
        <f t="shared" si="55"/>
        <v>4.032258064516129</v>
      </c>
      <c r="H89" s="150">
        <f aca="true" t="shared" si="66" ref="H89:H97">SUM(L89:Q89)</f>
        <v>11</v>
      </c>
      <c r="I89" s="151">
        <f t="shared" si="57"/>
        <v>2.268041237113402</v>
      </c>
      <c r="J89" s="150">
        <f t="shared" si="58"/>
        <v>8</v>
      </c>
      <c r="K89" s="151">
        <f t="shared" si="59"/>
        <v>72.72727272727273</v>
      </c>
      <c r="L89" s="148">
        <v>4</v>
      </c>
      <c r="M89" s="148">
        <v>1</v>
      </c>
      <c r="N89" s="148">
        <v>0</v>
      </c>
      <c r="O89" s="148">
        <v>3</v>
      </c>
      <c r="P89" s="148">
        <v>0</v>
      </c>
      <c r="Q89" s="152">
        <v>3</v>
      </c>
      <c r="R89" s="165">
        <f t="shared" si="48"/>
        <v>0.2061855670103093</v>
      </c>
      <c r="S89" s="201">
        <v>0</v>
      </c>
      <c r="T89" s="153">
        <f t="shared" si="49"/>
        <v>0</v>
      </c>
      <c r="U89" s="154">
        <f t="shared" si="50"/>
        <v>12.5</v>
      </c>
      <c r="V89" s="148">
        <v>157</v>
      </c>
      <c r="W89" s="212">
        <f t="shared" si="51"/>
        <v>32.371134020618555</v>
      </c>
      <c r="X89" s="201">
        <v>354</v>
      </c>
      <c r="Y89" s="280"/>
      <c r="Z89" s="283"/>
    </row>
    <row r="90" spans="1:26" ht="9.75">
      <c r="A90" s="297"/>
      <c r="B90" s="138" t="s">
        <v>101</v>
      </c>
      <c r="C90" s="194"/>
      <c r="D90" s="195"/>
      <c r="E90" s="196"/>
      <c r="F90" s="159">
        <v>0</v>
      </c>
      <c r="G90" s="197"/>
      <c r="H90" s="60">
        <f t="shared" si="66"/>
        <v>0</v>
      </c>
      <c r="I90" s="67" t="e">
        <f t="shared" si="57"/>
        <v>#DIV/0!</v>
      </c>
      <c r="J90" s="60">
        <f t="shared" si="58"/>
        <v>0</v>
      </c>
      <c r="K90" s="67" t="e">
        <f t="shared" si="59"/>
        <v>#DIV/0!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2">
        <v>0</v>
      </c>
      <c r="R90" s="166" t="e">
        <f t="shared" si="48"/>
        <v>#DIV/0!</v>
      </c>
      <c r="S90" s="202">
        <v>0</v>
      </c>
      <c r="T90" s="133" t="e">
        <f t="shared" si="49"/>
        <v>#DIV/0!</v>
      </c>
      <c r="U90" s="134" t="e">
        <f t="shared" si="50"/>
        <v>#DIV/0!</v>
      </c>
      <c r="V90" s="131">
        <v>0</v>
      </c>
      <c r="W90" s="213" t="e">
        <f t="shared" si="51"/>
        <v>#DIV/0!</v>
      </c>
      <c r="X90" s="202">
        <v>0</v>
      </c>
      <c r="Y90" s="168"/>
      <c r="Z90" s="282"/>
    </row>
    <row r="91" spans="1:26" ht="9.75">
      <c r="A91" s="297"/>
      <c r="B91" s="45" t="s">
        <v>99</v>
      </c>
      <c r="C91" s="23">
        <v>18088</v>
      </c>
      <c r="D91" s="23">
        <v>11334</v>
      </c>
      <c r="E91" s="135">
        <f t="shared" si="52"/>
        <v>62.66032728881026</v>
      </c>
      <c r="F91" s="162">
        <v>768</v>
      </c>
      <c r="G91" s="25">
        <f t="shared" si="55"/>
        <v>6.776071995764956</v>
      </c>
      <c r="H91" s="26">
        <f t="shared" si="66"/>
        <v>45</v>
      </c>
      <c r="I91" s="27">
        <f t="shared" si="57"/>
        <v>5.859375</v>
      </c>
      <c r="J91" s="26">
        <f t="shared" si="58"/>
        <v>42</v>
      </c>
      <c r="K91" s="27">
        <f t="shared" si="59"/>
        <v>93.33333333333333</v>
      </c>
      <c r="L91" s="23">
        <v>18</v>
      </c>
      <c r="M91" s="23">
        <v>3</v>
      </c>
      <c r="N91" s="23">
        <v>0</v>
      </c>
      <c r="O91" s="23">
        <v>21</v>
      </c>
      <c r="P91" s="23">
        <v>0</v>
      </c>
      <c r="Q91" s="28">
        <v>3</v>
      </c>
      <c r="R91" s="29">
        <f t="shared" si="48"/>
        <v>0.390625</v>
      </c>
      <c r="S91" s="205">
        <v>2</v>
      </c>
      <c r="T91" s="100">
        <f t="shared" si="49"/>
        <v>0.26041666666666663</v>
      </c>
      <c r="U91" s="24">
        <f t="shared" si="50"/>
        <v>7.142857142857142</v>
      </c>
      <c r="V91" s="23">
        <v>264</v>
      </c>
      <c r="W91" s="216">
        <f t="shared" si="51"/>
        <v>34.375</v>
      </c>
      <c r="X91" s="205">
        <v>319</v>
      </c>
      <c r="Y91" s="279">
        <v>658</v>
      </c>
      <c r="Z91" s="289">
        <f>(F91+Y91-X91)/D91*100</f>
        <v>9.76707252514558</v>
      </c>
    </row>
    <row r="92" spans="1:26" ht="9.75">
      <c r="A92" s="299" t="s">
        <v>27</v>
      </c>
      <c r="B92" s="46" t="s">
        <v>78</v>
      </c>
      <c r="C92" s="30">
        <f>41+398</f>
        <v>439</v>
      </c>
      <c r="D92" s="143">
        <f>10+287</f>
        <v>297</v>
      </c>
      <c r="E92" s="137">
        <f t="shared" si="52"/>
        <v>67.65375854214123</v>
      </c>
      <c r="F92" s="161">
        <v>4</v>
      </c>
      <c r="G92" s="144">
        <f t="shared" si="55"/>
        <v>1.3468013468013467</v>
      </c>
      <c r="H92" s="61">
        <f t="shared" si="66"/>
        <v>0</v>
      </c>
      <c r="I92" s="68">
        <f t="shared" si="57"/>
        <v>0</v>
      </c>
      <c r="J92" s="61">
        <f t="shared" si="58"/>
        <v>0</v>
      </c>
      <c r="K92" s="68" t="e">
        <f t="shared" si="59"/>
        <v>#DIV/0!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5">
        <v>0</v>
      </c>
      <c r="R92" s="167">
        <f t="shared" si="48"/>
        <v>0</v>
      </c>
      <c r="S92" s="204">
        <v>0</v>
      </c>
      <c r="T92" s="146">
        <f t="shared" si="49"/>
        <v>0</v>
      </c>
      <c r="U92" s="147" t="e">
        <f t="shared" si="50"/>
        <v>#DIV/0!</v>
      </c>
      <c r="V92" s="143">
        <v>0</v>
      </c>
      <c r="W92" s="215">
        <f t="shared" si="51"/>
        <v>0</v>
      </c>
      <c r="X92" s="204">
        <v>3</v>
      </c>
      <c r="Y92" s="280"/>
      <c r="Z92" s="283"/>
    </row>
    <row r="93" spans="1:26" ht="9.75">
      <c r="A93" s="299"/>
      <c r="B93" s="138" t="s">
        <v>101</v>
      </c>
      <c r="C93" s="194"/>
      <c r="D93" s="195"/>
      <c r="E93" s="196"/>
      <c r="F93" s="159">
        <v>0</v>
      </c>
      <c r="G93" s="197"/>
      <c r="H93" s="60">
        <f t="shared" si="66"/>
        <v>0</v>
      </c>
      <c r="I93" s="67" t="e">
        <f t="shared" si="57"/>
        <v>#DIV/0!</v>
      </c>
      <c r="J93" s="60">
        <f t="shared" si="58"/>
        <v>0</v>
      </c>
      <c r="K93" s="67" t="e">
        <f t="shared" si="59"/>
        <v>#DIV/0!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2">
        <v>0</v>
      </c>
      <c r="R93" s="166" t="e">
        <f t="shared" si="48"/>
        <v>#DIV/0!</v>
      </c>
      <c r="S93" s="202">
        <v>0</v>
      </c>
      <c r="T93" s="133" t="e">
        <f t="shared" si="49"/>
        <v>#DIV/0!</v>
      </c>
      <c r="U93" s="134" t="e">
        <f t="shared" si="50"/>
        <v>#DIV/0!</v>
      </c>
      <c r="V93" s="131">
        <v>0</v>
      </c>
      <c r="W93" s="213" t="e">
        <f t="shared" si="51"/>
        <v>#DIV/0!</v>
      </c>
      <c r="X93" s="202">
        <v>0</v>
      </c>
      <c r="Y93" s="168"/>
      <c r="Z93" s="282"/>
    </row>
    <row r="94" spans="1:26" ht="10.5" thickBot="1">
      <c r="A94" s="305"/>
      <c r="B94" s="47" t="s">
        <v>99</v>
      </c>
      <c r="C94" s="31">
        <v>398</v>
      </c>
      <c r="D94" s="31">
        <v>287</v>
      </c>
      <c r="E94" s="139">
        <f t="shared" si="52"/>
        <v>72.11055276381909</v>
      </c>
      <c r="F94" s="160">
        <v>56</v>
      </c>
      <c r="G94" s="140">
        <f t="shared" si="55"/>
        <v>19.51219512195122</v>
      </c>
      <c r="H94" s="141">
        <f t="shared" si="66"/>
        <v>6</v>
      </c>
      <c r="I94" s="142">
        <f t="shared" si="57"/>
        <v>10.714285714285714</v>
      </c>
      <c r="J94" s="141">
        <f t="shared" si="58"/>
        <v>6</v>
      </c>
      <c r="K94" s="142">
        <f t="shared" si="59"/>
        <v>100</v>
      </c>
      <c r="L94" s="31">
        <v>6</v>
      </c>
      <c r="M94" s="31">
        <v>0</v>
      </c>
      <c r="N94" s="31">
        <v>0</v>
      </c>
      <c r="O94" s="31">
        <v>0</v>
      </c>
      <c r="P94" s="31">
        <v>0</v>
      </c>
      <c r="Q94" s="33">
        <v>0</v>
      </c>
      <c r="R94" s="34">
        <f t="shared" si="48"/>
        <v>0</v>
      </c>
      <c r="S94" s="203">
        <v>0</v>
      </c>
      <c r="T94" s="101">
        <f t="shared" si="49"/>
        <v>0</v>
      </c>
      <c r="U94" s="32">
        <f t="shared" si="50"/>
        <v>0</v>
      </c>
      <c r="V94" s="31">
        <v>10</v>
      </c>
      <c r="W94" s="214">
        <f t="shared" si="51"/>
        <v>17.857142857142858</v>
      </c>
      <c r="X94" s="203">
        <v>36</v>
      </c>
      <c r="Y94" s="279">
        <v>27</v>
      </c>
      <c r="Z94" s="289">
        <f>(F94+Y94-X94)/D94*100</f>
        <v>16.376306620209057</v>
      </c>
    </row>
    <row r="95" spans="1:26" ht="9.75">
      <c r="A95" s="302" t="s">
        <v>43</v>
      </c>
      <c r="B95" s="43" t="s">
        <v>78</v>
      </c>
      <c r="C95" s="122">
        <f>SUM(C89,C92)</f>
        <v>20977</v>
      </c>
      <c r="D95" s="20">
        <f>SUM(D89,D92)</f>
        <v>12325</v>
      </c>
      <c r="E95" s="104">
        <f t="shared" si="52"/>
        <v>58.75482671497354</v>
      </c>
      <c r="F95" s="163">
        <f>SUM(F89,F92)</f>
        <v>489</v>
      </c>
      <c r="G95" s="123">
        <f t="shared" si="55"/>
        <v>3.967545638945233</v>
      </c>
      <c r="H95" s="124">
        <f t="shared" si="66"/>
        <v>11</v>
      </c>
      <c r="I95" s="125">
        <f t="shared" si="57"/>
        <v>2.2494887525562373</v>
      </c>
      <c r="J95" s="124">
        <f t="shared" si="58"/>
        <v>8</v>
      </c>
      <c r="K95" s="125">
        <f t="shared" si="59"/>
        <v>72.72727272727273</v>
      </c>
      <c r="L95" s="20">
        <f aca="true" t="shared" si="67" ref="L95:Q97">SUM(L89,L92)</f>
        <v>4</v>
      </c>
      <c r="M95" s="20">
        <f t="shared" si="67"/>
        <v>1</v>
      </c>
      <c r="N95" s="20">
        <f t="shared" si="67"/>
        <v>0</v>
      </c>
      <c r="O95" s="20">
        <f t="shared" si="67"/>
        <v>3</v>
      </c>
      <c r="P95" s="20">
        <f t="shared" si="67"/>
        <v>0</v>
      </c>
      <c r="Q95" s="21">
        <f t="shared" si="67"/>
        <v>3</v>
      </c>
      <c r="R95" s="127">
        <f t="shared" si="48"/>
        <v>0.2044989775051125</v>
      </c>
      <c r="S95" s="198">
        <f>SUM(S89,S92)</f>
        <v>0</v>
      </c>
      <c r="T95" s="128">
        <f t="shared" si="49"/>
        <v>0</v>
      </c>
      <c r="U95" s="129">
        <f t="shared" si="50"/>
        <v>12.5</v>
      </c>
      <c r="V95" s="20">
        <f>SUM(V89,V92)</f>
        <v>157</v>
      </c>
      <c r="W95" s="209">
        <f t="shared" si="51"/>
        <v>32.10633946830266</v>
      </c>
      <c r="X95" s="198">
        <f>SUM(X89,X92)</f>
        <v>357</v>
      </c>
      <c r="Y95" s="277"/>
      <c r="Z95" s="281"/>
    </row>
    <row r="96" spans="1:26" ht="9.75">
      <c r="A96" s="303"/>
      <c r="B96" s="105" t="s">
        <v>98</v>
      </c>
      <c r="C96" s="218"/>
      <c r="D96" s="195"/>
      <c r="E96" s="196"/>
      <c r="F96" s="156">
        <f>SUM(F90,F93)</f>
        <v>0</v>
      </c>
      <c r="G96" s="197"/>
      <c r="H96" s="107">
        <f t="shared" si="66"/>
        <v>0</v>
      </c>
      <c r="I96" s="108" t="e">
        <f t="shared" si="57"/>
        <v>#DIV/0!</v>
      </c>
      <c r="J96" s="107">
        <f t="shared" si="58"/>
        <v>0</v>
      </c>
      <c r="K96" s="108" t="e">
        <f t="shared" si="59"/>
        <v>#DIV/0!</v>
      </c>
      <c r="L96" s="106">
        <f t="shared" si="67"/>
        <v>0</v>
      </c>
      <c r="M96" s="106">
        <f t="shared" si="67"/>
        <v>0</v>
      </c>
      <c r="N96" s="106">
        <f t="shared" si="67"/>
        <v>0</v>
      </c>
      <c r="O96" s="106">
        <f t="shared" si="67"/>
        <v>0</v>
      </c>
      <c r="P96" s="106">
        <f t="shared" si="67"/>
        <v>0</v>
      </c>
      <c r="Q96" s="109">
        <f t="shared" si="67"/>
        <v>0</v>
      </c>
      <c r="R96" s="110" t="e">
        <f t="shared" si="48"/>
        <v>#DIV/0!</v>
      </c>
      <c r="S96" s="199">
        <f>SUM(S90,S93)</f>
        <v>0</v>
      </c>
      <c r="T96" s="111" t="e">
        <f t="shared" si="49"/>
        <v>#DIV/0!</v>
      </c>
      <c r="U96" s="112" t="e">
        <f t="shared" si="50"/>
        <v>#DIV/0!</v>
      </c>
      <c r="V96" s="106">
        <f>SUM(V90,V93)</f>
        <v>0</v>
      </c>
      <c r="W96" s="210" t="e">
        <f t="shared" si="51"/>
        <v>#DIV/0!</v>
      </c>
      <c r="X96" s="199">
        <f>SUM(X90,X93)</f>
        <v>0</v>
      </c>
      <c r="Y96" s="278"/>
      <c r="Z96" s="282"/>
    </row>
    <row r="97" spans="1:26" ht="10.5" thickBot="1">
      <c r="A97" s="304"/>
      <c r="B97" s="113" t="s">
        <v>99</v>
      </c>
      <c r="C97" s="40">
        <f>SUM(C91,C94)</f>
        <v>18486</v>
      </c>
      <c r="D97" s="40">
        <f>SUM(D91,D94)</f>
        <v>11621</v>
      </c>
      <c r="E97" s="130">
        <f t="shared" si="52"/>
        <v>62.8637888131559</v>
      </c>
      <c r="F97" s="164">
        <f>SUM(F91,F94)</f>
        <v>824</v>
      </c>
      <c r="G97" s="115">
        <f t="shared" si="55"/>
        <v>7.090611823423114</v>
      </c>
      <c r="H97" s="116">
        <f t="shared" si="66"/>
        <v>51</v>
      </c>
      <c r="I97" s="117">
        <f t="shared" si="57"/>
        <v>6.189320388349515</v>
      </c>
      <c r="J97" s="116">
        <f t="shared" si="58"/>
        <v>48</v>
      </c>
      <c r="K97" s="117">
        <f t="shared" si="59"/>
        <v>94.11764705882352</v>
      </c>
      <c r="L97" s="40">
        <f t="shared" si="67"/>
        <v>24</v>
      </c>
      <c r="M97" s="40">
        <f t="shared" si="67"/>
        <v>3</v>
      </c>
      <c r="N97" s="40">
        <f t="shared" si="67"/>
        <v>0</v>
      </c>
      <c r="O97" s="40">
        <f t="shared" si="67"/>
        <v>21</v>
      </c>
      <c r="P97" s="40">
        <f t="shared" si="67"/>
        <v>0</v>
      </c>
      <c r="Q97" s="41">
        <f t="shared" si="67"/>
        <v>3</v>
      </c>
      <c r="R97" s="119">
        <f t="shared" si="48"/>
        <v>0.3640776699029126</v>
      </c>
      <c r="S97" s="200">
        <f>SUM(S91,S94)</f>
        <v>2</v>
      </c>
      <c r="T97" s="120">
        <f t="shared" si="49"/>
        <v>0.24271844660194172</v>
      </c>
      <c r="U97" s="121">
        <f t="shared" si="50"/>
        <v>6.25</v>
      </c>
      <c r="V97" s="40">
        <f>SUM(V91,V94)</f>
        <v>274</v>
      </c>
      <c r="W97" s="211">
        <f t="shared" si="51"/>
        <v>33.25242718446602</v>
      </c>
      <c r="X97" s="200">
        <f>SUM(X91,X94)</f>
        <v>355</v>
      </c>
      <c r="Y97" s="200">
        <f>SUM(Y91,Y94)</f>
        <v>685</v>
      </c>
      <c r="Z97" s="288">
        <f>(F97+Y97-X97)/D97*100</f>
        <v>9.930298597366836</v>
      </c>
    </row>
    <row r="98" spans="1:26" ht="9.75">
      <c r="A98" s="298" t="s">
        <v>28</v>
      </c>
      <c r="B98" s="44" t="s">
        <v>78</v>
      </c>
      <c r="C98" s="22">
        <f>7026+33480</f>
        <v>40506</v>
      </c>
      <c r="D98" s="148">
        <f>2621+20638</f>
        <v>23259</v>
      </c>
      <c r="E98" s="136">
        <f t="shared" si="52"/>
        <v>57.421122796622726</v>
      </c>
      <c r="F98" s="158">
        <v>2212</v>
      </c>
      <c r="G98" s="149">
        <f aca="true" t="shared" si="68" ref="G98:G112">F98/D98*100</f>
        <v>9.510297089298767</v>
      </c>
      <c r="H98" s="150">
        <f aca="true" t="shared" si="69" ref="H98:H112">SUM(L98:Q98)</f>
        <v>46</v>
      </c>
      <c r="I98" s="151">
        <f t="shared" si="57"/>
        <v>2.0795660036166366</v>
      </c>
      <c r="J98" s="150">
        <f t="shared" si="58"/>
        <v>39</v>
      </c>
      <c r="K98" s="151">
        <f t="shared" si="59"/>
        <v>84.78260869565217</v>
      </c>
      <c r="L98" s="148">
        <v>20</v>
      </c>
      <c r="M98" s="148">
        <v>4</v>
      </c>
      <c r="N98" s="148">
        <v>0</v>
      </c>
      <c r="O98" s="148">
        <v>15</v>
      </c>
      <c r="P98" s="148">
        <v>0</v>
      </c>
      <c r="Q98" s="152">
        <v>7</v>
      </c>
      <c r="R98" s="165">
        <f t="shared" si="48"/>
        <v>0.18083182640144665</v>
      </c>
      <c r="S98" s="201">
        <v>3</v>
      </c>
      <c r="T98" s="153">
        <f t="shared" si="49"/>
        <v>0.13562386980108498</v>
      </c>
      <c r="U98" s="154">
        <f t="shared" si="50"/>
        <v>10.256410256410255</v>
      </c>
      <c r="V98" s="148">
        <v>668</v>
      </c>
      <c r="W98" s="212">
        <f t="shared" si="51"/>
        <v>30.198915009041592</v>
      </c>
      <c r="X98" s="201">
        <v>1486</v>
      </c>
      <c r="Y98" s="280"/>
      <c r="Z98" s="283"/>
    </row>
    <row r="99" spans="1:26" ht="9.75">
      <c r="A99" s="299"/>
      <c r="B99" s="138" t="s">
        <v>101</v>
      </c>
      <c r="C99" s="194"/>
      <c r="D99" s="195"/>
      <c r="E99" s="196"/>
      <c r="F99" s="159">
        <v>0</v>
      </c>
      <c r="G99" s="197"/>
      <c r="H99" s="60">
        <f t="shared" si="69"/>
        <v>0</v>
      </c>
      <c r="I99" s="67" t="e">
        <f t="shared" si="57"/>
        <v>#DIV/0!</v>
      </c>
      <c r="J99" s="60">
        <f t="shared" si="58"/>
        <v>0</v>
      </c>
      <c r="K99" s="67" t="e">
        <f t="shared" si="59"/>
        <v>#DIV/0!</v>
      </c>
      <c r="L99" s="131">
        <v>0</v>
      </c>
      <c r="M99" s="131">
        <v>0</v>
      </c>
      <c r="N99" s="131">
        <v>0</v>
      </c>
      <c r="O99" s="131">
        <v>0</v>
      </c>
      <c r="P99" s="131">
        <v>0</v>
      </c>
      <c r="Q99" s="132">
        <v>0</v>
      </c>
      <c r="R99" s="166" t="e">
        <f t="shared" si="48"/>
        <v>#DIV/0!</v>
      </c>
      <c r="S99" s="202">
        <v>0</v>
      </c>
      <c r="T99" s="133" t="e">
        <f t="shared" si="49"/>
        <v>#DIV/0!</v>
      </c>
      <c r="U99" s="134" t="e">
        <f t="shared" si="50"/>
        <v>#DIV/0!</v>
      </c>
      <c r="V99" s="131">
        <v>0</v>
      </c>
      <c r="W99" s="213" t="e">
        <f t="shared" si="51"/>
        <v>#DIV/0!</v>
      </c>
      <c r="X99" s="202">
        <v>0</v>
      </c>
      <c r="Y99" s="168"/>
      <c r="Z99" s="282"/>
    </row>
    <row r="100" spans="1:26" ht="9.75">
      <c r="A100" s="299"/>
      <c r="B100" s="45" t="s">
        <v>99</v>
      </c>
      <c r="C100" s="23">
        <v>33480</v>
      </c>
      <c r="D100" s="23">
        <v>20638</v>
      </c>
      <c r="E100" s="135">
        <f t="shared" si="52"/>
        <v>61.64277180406212</v>
      </c>
      <c r="F100" s="162">
        <v>1144</v>
      </c>
      <c r="G100" s="25">
        <f t="shared" si="68"/>
        <v>5.543172788060859</v>
      </c>
      <c r="H100" s="26">
        <f t="shared" si="69"/>
        <v>111</v>
      </c>
      <c r="I100" s="27">
        <f t="shared" si="57"/>
        <v>9.702797202797203</v>
      </c>
      <c r="J100" s="26">
        <f t="shared" si="58"/>
        <v>96</v>
      </c>
      <c r="K100" s="27">
        <f t="shared" si="59"/>
        <v>86.48648648648648</v>
      </c>
      <c r="L100" s="23">
        <v>42</v>
      </c>
      <c r="M100" s="23">
        <v>4</v>
      </c>
      <c r="N100" s="23">
        <v>0</v>
      </c>
      <c r="O100" s="23">
        <v>50</v>
      </c>
      <c r="P100" s="23">
        <v>0</v>
      </c>
      <c r="Q100" s="28">
        <v>15</v>
      </c>
      <c r="R100" s="29">
        <f t="shared" si="48"/>
        <v>0.34965034965034963</v>
      </c>
      <c r="S100" s="205">
        <v>2</v>
      </c>
      <c r="T100" s="100">
        <f t="shared" si="49"/>
        <v>0.17482517482517482</v>
      </c>
      <c r="U100" s="24">
        <f t="shared" si="50"/>
        <v>4.166666666666666</v>
      </c>
      <c r="V100" s="23">
        <v>463</v>
      </c>
      <c r="W100" s="216">
        <f t="shared" si="51"/>
        <v>40.47202797202797</v>
      </c>
      <c r="X100" s="205">
        <v>447</v>
      </c>
      <c r="Y100" s="279">
        <v>1137</v>
      </c>
      <c r="Z100" s="289">
        <f>(F100+Y100-X100)/D100*100</f>
        <v>8.886520011629035</v>
      </c>
    </row>
    <row r="101" spans="1:26" ht="9.75">
      <c r="A101" s="299" t="s">
        <v>29</v>
      </c>
      <c r="B101" s="46" t="s">
        <v>78</v>
      </c>
      <c r="C101" s="30">
        <f>643+5101</f>
        <v>5744</v>
      </c>
      <c r="D101" s="143">
        <f>194+3270</f>
        <v>3464</v>
      </c>
      <c r="E101" s="137">
        <f aca="true" t="shared" si="70" ref="E101:E127">D101/C101*100</f>
        <v>60.306406685236766</v>
      </c>
      <c r="F101" s="161">
        <v>68</v>
      </c>
      <c r="G101" s="144">
        <f t="shared" si="68"/>
        <v>1.9630484988452657</v>
      </c>
      <c r="H101" s="61">
        <f t="shared" si="69"/>
        <v>6</v>
      </c>
      <c r="I101" s="68">
        <f t="shared" si="57"/>
        <v>8.823529411764707</v>
      </c>
      <c r="J101" s="61">
        <f t="shared" si="58"/>
        <v>5</v>
      </c>
      <c r="K101" s="68">
        <f t="shared" si="59"/>
        <v>83.33333333333334</v>
      </c>
      <c r="L101" s="143">
        <v>4</v>
      </c>
      <c r="M101" s="143">
        <v>0</v>
      </c>
      <c r="N101" s="143">
        <v>0</v>
      </c>
      <c r="O101" s="143">
        <v>1</v>
      </c>
      <c r="P101" s="143">
        <v>0</v>
      </c>
      <c r="Q101" s="145">
        <v>1</v>
      </c>
      <c r="R101" s="167">
        <f aca="true" t="shared" si="71" ref="R101:R127">M101/F101*100</f>
        <v>0</v>
      </c>
      <c r="S101" s="204">
        <v>0</v>
      </c>
      <c r="T101" s="146">
        <f aca="true" t="shared" si="72" ref="T101:T127">S101/F101*100</f>
        <v>0</v>
      </c>
      <c r="U101" s="147">
        <f aca="true" t="shared" si="73" ref="U101:U127">M101/J101*100</f>
        <v>0</v>
      </c>
      <c r="V101" s="143">
        <v>37</v>
      </c>
      <c r="W101" s="215">
        <f aca="true" t="shared" si="74" ref="W101:W127">V101/F101*100</f>
        <v>54.41176470588235</v>
      </c>
      <c r="X101" s="204">
        <v>18</v>
      </c>
      <c r="Y101" s="280"/>
      <c r="Z101" s="283"/>
    </row>
    <row r="102" spans="1:26" ht="9.75">
      <c r="A102" s="299"/>
      <c r="B102" s="138" t="s">
        <v>101</v>
      </c>
      <c r="C102" s="194"/>
      <c r="D102" s="195"/>
      <c r="E102" s="196"/>
      <c r="F102" s="159">
        <v>0</v>
      </c>
      <c r="G102" s="197"/>
      <c r="H102" s="60">
        <f t="shared" si="69"/>
        <v>0</v>
      </c>
      <c r="I102" s="67" t="e">
        <f t="shared" si="57"/>
        <v>#DIV/0!</v>
      </c>
      <c r="J102" s="60">
        <f t="shared" si="58"/>
        <v>0</v>
      </c>
      <c r="K102" s="67" t="e">
        <f t="shared" si="59"/>
        <v>#DIV/0!</v>
      </c>
      <c r="L102" s="131">
        <v>0</v>
      </c>
      <c r="M102" s="131">
        <v>0</v>
      </c>
      <c r="N102" s="131">
        <v>0</v>
      </c>
      <c r="O102" s="131">
        <v>0</v>
      </c>
      <c r="P102" s="131">
        <v>0</v>
      </c>
      <c r="Q102" s="132">
        <v>0</v>
      </c>
      <c r="R102" s="166" t="e">
        <f t="shared" si="71"/>
        <v>#DIV/0!</v>
      </c>
      <c r="S102" s="202">
        <v>0</v>
      </c>
      <c r="T102" s="133" t="e">
        <f t="shared" si="72"/>
        <v>#DIV/0!</v>
      </c>
      <c r="U102" s="134" t="e">
        <f t="shared" si="73"/>
        <v>#DIV/0!</v>
      </c>
      <c r="V102" s="131">
        <v>0</v>
      </c>
      <c r="W102" s="213" t="e">
        <f t="shared" si="74"/>
        <v>#DIV/0!</v>
      </c>
      <c r="X102" s="202">
        <v>0</v>
      </c>
      <c r="Y102" s="168"/>
      <c r="Z102" s="282"/>
    </row>
    <row r="103" spans="1:26" ht="9.75">
      <c r="A103" s="299"/>
      <c r="B103" s="45" t="s">
        <v>99</v>
      </c>
      <c r="C103" s="23">
        <v>5101</v>
      </c>
      <c r="D103" s="23">
        <v>3270</v>
      </c>
      <c r="E103" s="135">
        <f t="shared" si="70"/>
        <v>64.1050774357969</v>
      </c>
      <c r="F103" s="162">
        <v>576</v>
      </c>
      <c r="G103" s="25">
        <f t="shared" si="68"/>
        <v>17.61467889908257</v>
      </c>
      <c r="H103" s="26">
        <f t="shared" si="69"/>
        <v>36</v>
      </c>
      <c r="I103" s="27">
        <f t="shared" si="57"/>
        <v>6.25</v>
      </c>
      <c r="J103" s="26">
        <f t="shared" si="58"/>
        <v>34</v>
      </c>
      <c r="K103" s="27">
        <f t="shared" si="59"/>
        <v>94.44444444444444</v>
      </c>
      <c r="L103" s="23">
        <v>19</v>
      </c>
      <c r="M103" s="23">
        <v>2</v>
      </c>
      <c r="N103" s="23">
        <v>0</v>
      </c>
      <c r="O103" s="23">
        <v>13</v>
      </c>
      <c r="P103" s="23">
        <v>0</v>
      </c>
      <c r="Q103" s="28">
        <v>2</v>
      </c>
      <c r="R103" s="29">
        <f t="shared" si="71"/>
        <v>0.3472222222222222</v>
      </c>
      <c r="S103" s="205">
        <v>0</v>
      </c>
      <c r="T103" s="100">
        <f t="shared" si="72"/>
        <v>0</v>
      </c>
      <c r="U103" s="24">
        <f t="shared" si="73"/>
        <v>5.88235294117647</v>
      </c>
      <c r="V103" s="23">
        <v>82</v>
      </c>
      <c r="W103" s="216">
        <f t="shared" si="74"/>
        <v>14.23611111111111</v>
      </c>
      <c r="X103" s="205">
        <v>371</v>
      </c>
      <c r="Y103" s="279">
        <v>606</v>
      </c>
      <c r="Z103" s="289">
        <f>(F103+Y103-X103)/D103*100</f>
        <v>24.801223241590215</v>
      </c>
    </row>
    <row r="104" spans="1:26" ht="9.75">
      <c r="A104" s="299" t="s">
        <v>30</v>
      </c>
      <c r="B104" s="46" t="s">
        <v>78</v>
      </c>
      <c r="C104" s="30">
        <f>231+2091</f>
        <v>2322</v>
      </c>
      <c r="D104" s="143">
        <f>61+733</f>
        <v>794</v>
      </c>
      <c r="E104" s="137">
        <f t="shared" si="70"/>
        <v>34.194659776055126</v>
      </c>
      <c r="F104" s="161">
        <v>45</v>
      </c>
      <c r="G104" s="144">
        <f t="shared" si="68"/>
        <v>5.6675062972292185</v>
      </c>
      <c r="H104" s="61">
        <f t="shared" si="69"/>
        <v>3</v>
      </c>
      <c r="I104" s="68">
        <f t="shared" si="57"/>
        <v>6.666666666666667</v>
      </c>
      <c r="J104" s="61">
        <f t="shared" si="58"/>
        <v>2</v>
      </c>
      <c r="K104" s="68">
        <f t="shared" si="59"/>
        <v>66.66666666666666</v>
      </c>
      <c r="L104" s="143">
        <v>2</v>
      </c>
      <c r="M104" s="143">
        <v>0</v>
      </c>
      <c r="N104" s="143">
        <v>0</v>
      </c>
      <c r="O104" s="143">
        <v>0</v>
      </c>
      <c r="P104" s="143">
        <v>0</v>
      </c>
      <c r="Q104" s="145">
        <v>1</v>
      </c>
      <c r="R104" s="167">
        <f t="shared" si="71"/>
        <v>0</v>
      </c>
      <c r="S104" s="204">
        <v>0</v>
      </c>
      <c r="T104" s="146">
        <f t="shared" si="72"/>
        <v>0</v>
      </c>
      <c r="U104" s="147">
        <f t="shared" si="73"/>
        <v>0</v>
      </c>
      <c r="V104" s="143">
        <v>16</v>
      </c>
      <c r="W104" s="215">
        <f t="shared" si="74"/>
        <v>35.55555555555556</v>
      </c>
      <c r="X104" s="204">
        <v>29</v>
      </c>
      <c r="Y104" s="280"/>
      <c r="Z104" s="283"/>
    </row>
    <row r="105" spans="1:26" ht="9.75">
      <c r="A105" s="299"/>
      <c r="B105" s="138" t="s">
        <v>101</v>
      </c>
      <c r="C105" s="194"/>
      <c r="D105" s="195"/>
      <c r="E105" s="196"/>
      <c r="F105" s="159">
        <v>117</v>
      </c>
      <c r="G105" s="197"/>
      <c r="H105" s="60">
        <f t="shared" si="69"/>
        <v>6</v>
      </c>
      <c r="I105" s="67">
        <f t="shared" si="57"/>
        <v>5.128205128205128</v>
      </c>
      <c r="J105" s="60">
        <f t="shared" si="58"/>
        <v>6</v>
      </c>
      <c r="K105" s="67">
        <f t="shared" si="59"/>
        <v>100</v>
      </c>
      <c r="L105" s="131">
        <v>4</v>
      </c>
      <c r="M105" s="131">
        <v>0</v>
      </c>
      <c r="N105" s="131">
        <v>0</v>
      </c>
      <c r="O105" s="131">
        <v>2</v>
      </c>
      <c r="P105" s="131">
        <v>0</v>
      </c>
      <c r="Q105" s="132">
        <v>0</v>
      </c>
      <c r="R105" s="166">
        <f t="shared" si="71"/>
        <v>0</v>
      </c>
      <c r="S105" s="202">
        <v>0</v>
      </c>
      <c r="T105" s="133">
        <f t="shared" si="72"/>
        <v>0</v>
      </c>
      <c r="U105" s="134">
        <f t="shared" si="73"/>
        <v>0</v>
      </c>
      <c r="V105" s="131">
        <v>27</v>
      </c>
      <c r="W105" s="213">
        <f t="shared" si="74"/>
        <v>23.076923076923077</v>
      </c>
      <c r="X105" s="202">
        <v>48</v>
      </c>
      <c r="Y105" s="168"/>
      <c r="Z105" s="282"/>
    </row>
    <row r="106" spans="1:26" ht="9.75">
      <c r="A106" s="299"/>
      <c r="B106" s="45" t="s">
        <v>99</v>
      </c>
      <c r="C106" s="23">
        <v>2091</v>
      </c>
      <c r="D106" s="23">
        <v>733</v>
      </c>
      <c r="E106" s="135">
        <f t="shared" si="70"/>
        <v>35.05499760879962</v>
      </c>
      <c r="F106" s="162">
        <v>99</v>
      </c>
      <c r="G106" s="25">
        <f t="shared" si="68"/>
        <v>13.506139154160982</v>
      </c>
      <c r="H106" s="26">
        <f t="shared" si="69"/>
        <v>4</v>
      </c>
      <c r="I106" s="27">
        <f t="shared" si="57"/>
        <v>4.040404040404041</v>
      </c>
      <c r="J106" s="26">
        <f t="shared" si="58"/>
        <v>4</v>
      </c>
      <c r="K106" s="27">
        <f t="shared" si="59"/>
        <v>100</v>
      </c>
      <c r="L106" s="23">
        <v>2</v>
      </c>
      <c r="M106" s="23">
        <v>0</v>
      </c>
      <c r="N106" s="23">
        <v>0</v>
      </c>
      <c r="O106" s="23">
        <v>2</v>
      </c>
      <c r="P106" s="23">
        <v>0</v>
      </c>
      <c r="Q106" s="28">
        <v>0</v>
      </c>
      <c r="R106" s="29">
        <f t="shared" si="71"/>
        <v>0</v>
      </c>
      <c r="S106" s="205">
        <v>0</v>
      </c>
      <c r="T106" s="100">
        <f t="shared" si="72"/>
        <v>0</v>
      </c>
      <c r="U106" s="24">
        <f t="shared" si="73"/>
        <v>0</v>
      </c>
      <c r="V106" s="23">
        <v>13</v>
      </c>
      <c r="W106" s="216">
        <f t="shared" si="74"/>
        <v>13.131313131313133</v>
      </c>
      <c r="X106" s="205">
        <v>67</v>
      </c>
      <c r="Y106" s="279">
        <v>204</v>
      </c>
      <c r="Z106" s="289">
        <f>(F106+Y106-X106)/D106*100</f>
        <v>32.196452933151434</v>
      </c>
    </row>
    <row r="107" spans="1:26" ht="9.75">
      <c r="A107" s="299" t="s">
        <v>31</v>
      </c>
      <c r="B107" s="46" t="s">
        <v>78</v>
      </c>
      <c r="C107" s="30">
        <f>815+5915</f>
        <v>6730</v>
      </c>
      <c r="D107" s="143">
        <f>129+1061</f>
        <v>1190</v>
      </c>
      <c r="E107" s="137">
        <f t="shared" si="70"/>
        <v>17.682020802377416</v>
      </c>
      <c r="F107" s="161">
        <v>138</v>
      </c>
      <c r="G107" s="144">
        <f t="shared" si="68"/>
        <v>11.596638655462185</v>
      </c>
      <c r="H107" s="61">
        <f t="shared" si="69"/>
        <v>5</v>
      </c>
      <c r="I107" s="68">
        <f t="shared" si="57"/>
        <v>3.6231884057971016</v>
      </c>
      <c r="J107" s="61">
        <f t="shared" si="58"/>
        <v>4</v>
      </c>
      <c r="K107" s="68">
        <f t="shared" si="59"/>
        <v>80</v>
      </c>
      <c r="L107" s="143">
        <v>4</v>
      </c>
      <c r="M107" s="143">
        <v>0</v>
      </c>
      <c r="N107" s="143">
        <v>0</v>
      </c>
      <c r="O107" s="143">
        <v>0</v>
      </c>
      <c r="P107" s="143">
        <v>0</v>
      </c>
      <c r="Q107" s="145">
        <v>1</v>
      </c>
      <c r="R107" s="167">
        <f t="shared" si="71"/>
        <v>0</v>
      </c>
      <c r="S107" s="204">
        <v>0</v>
      </c>
      <c r="T107" s="146">
        <f t="shared" si="72"/>
        <v>0</v>
      </c>
      <c r="U107" s="147">
        <f t="shared" si="73"/>
        <v>0</v>
      </c>
      <c r="V107" s="143">
        <v>46</v>
      </c>
      <c r="W107" s="215">
        <f t="shared" si="74"/>
        <v>33.33333333333333</v>
      </c>
      <c r="X107" s="204">
        <v>71</v>
      </c>
      <c r="Y107" s="280"/>
      <c r="Z107" s="283"/>
    </row>
    <row r="108" spans="1:26" ht="9.75">
      <c r="A108" s="299"/>
      <c r="B108" s="138" t="s">
        <v>101</v>
      </c>
      <c r="C108" s="194"/>
      <c r="D108" s="195"/>
      <c r="E108" s="196"/>
      <c r="F108" s="159">
        <v>0</v>
      </c>
      <c r="G108" s="197"/>
      <c r="H108" s="60">
        <f t="shared" si="69"/>
        <v>0</v>
      </c>
      <c r="I108" s="67" t="e">
        <f t="shared" si="57"/>
        <v>#DIV/0!</v>
      </c>
      <c r="J108" s="60">
        <f t="shared" si="58"/>
        <v>0</v>
      </c>
      <c r="K108" s="67" t="e">
        <f t="shared" si="59"/>
        <v>#DIV/0!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132">
        <v>0</v>
      </c>
      <c r="R108" s="166" t="e">
        <f t="shared" si="71"/>
        <v>#DIV/0!</v>
      </c>
      <c r="S108" s="202">
        <v>0</v>
      </c>
      <c r="T108" s="133" t="e">
        <f t="shared" si="72"/>
        <v>#DIV/0!</v>
      </c>
      <c r="U108" s="134" t="e">
        <f t="shared" si="73"/>
        <v>#DIV/0!</v>
      </c>
      <c r="V108" s="131">
        <v>0</v>
      </c>
      <c r="W108" s="213" t="e">
        <f t="shared" si="74"/>
        <v>#DIV/0!</v>
      </c>
      <c r="X108" s="202">
        <v>0</v>
      </c>
      <c r="Y108" s="168"/>
      <c r="Z108" s="282"/>
    </row>
    <row r="109" spans="1:26" ht="10.5" thickBot="1">
      <c r="A109" s="305"/>
      <c r="B109" s="47" t="s">
        <v>99</v>
      </c>
      <c r="C109" s="31">
        <v>5915</v>
      </c>
      <c r="D109" s="31">
        <v>1061</v>
      </c>
      <c r="E109" s="139">
        <f t="shared" si="70"/>
        <v>17.9374471682164</v>
      </c>
      <c r="F109" s="160">
        <v>652</v>
      </c>
      <c r="G109" s="140">
        <f t="shared" si="68"/>
        <v>61.45146088595664</v>
      </c>
      <c r="H109" s="141">
        <f t="shared" si="69"/>
        <v>50</v>
      </c>
      <c r="I109" s="142">
        <f t="shared" si="57"/>
        <v>7.668711656441718</v>
      </c>
      <c r="J109" s="141">
        <f t="shared" si="58"/>
        <v>46</v>
      </c>
      <c r="K109" s="142">
        <f t="shared" si="59"/>
        <v>92</v>
      </c>
      <c r="L109" s="31">
        <v>33</v>
      </c>
      <c r="M109" s="31">
        <v>2</v>
      </c>
      <c r="N109" s="31">
        <v>0</v>
      </c>
      <c r="O109" s="31">
        <v>11</v>
      </c>
      <c r="P109" s="31">
        <v>0</v>
      </c>
      <c r="Q109" s="33">
        <v>4</v>
      </c>
      <c r="R109" s="34">
        <f t="shared" si="71"/>
        <v>0.3067484662576687</v>
      </c>
      <c r="S109" s="203">
        <v>2</v>
      </c>
      <c r="T109" s="101">
        <f t="shared" si="72"/>
        <v>0.3067484662576687</v>
      </c>
      <c r="U109" s="32">
        <f t="shared" si="73"/>
        <v>4.3478260869565215</v>
      </c>
      <c r="V109" s="31">
        <v>77</v>
      </c>
      <c r="W109" s="214">
        <f t="shared" si="74"/>
        <v>11.809815950920246</v>
      </c>
      <c r="X109" s="203">
        <v>429</v>
      </c>
      <c r="Y109" s="279">
        <v>646</v>
      </c>
      <c r="Z109" s="289">
        <f>(F109+Y109-X109)/D109*100</f>
        <v>81.9038642789821</v>
      </c>
    </row>
    <row r="110" spans="1:26" ht="9.75">
      <c r="A110" s="302" t="s">
        <v>44</v>
      </c>
      <c r="B110" s="43" t="s">
        <v>78</v>
      </c>
      <c r="C110" s="20">
        <f aca="true" t="shared" si="75" ref="C110:D112">SUM(C98,C101,C104,C107)</f>
        <v>55302</v>
      </c>
      <c r="D110" s="20">
        <f t="shared" si="75"/>
        <v>28707</v>
      </c>
      <c r="E110" s="104">
        <f t="shared" si="70"/>
        <v>51.90951502658132</v>
      </c>
      <c r="F110" s="163">
        <f>SUM(F98,F101,F104,F107)</f>
        <v>2463</v>
      </c>
      <c r="G110" s="123">
        <f t="shared" si="68"/>
        <v>8.579788901661615</v>
      </c>
      <c r="H110" s="124">
        <f t="shared" si="69"/>
        <v>60</v>
      </c>
      <c r="I110" s="125">
        <f t="shared" si="57"/>
        <v>2.4360535931790497</v>
      </c>
      <c r="J110" s="124">
        <f t="shared" si="58"/>
        <v>50</v>
      </c>
      <c r="K110" s="125">
        <f t="shared" si="59"/>
        <v>83.33333333333334</v>
      </c>
      <c r="L110" s="20">
        <f aca="true" t="shared" si="76" ref="L110:Q110">SUM(L98,L101,L104,L107)</f>
        <v>30</v>
      </c>
      <c r="M110" s="20">
        <f t="shared" si="76"/>
        <v>4</v>
      </c>
      <c r="N110" s="20">
        <f t="shared" si="76"/>
        <v>0</v>
      </c>
      <c r="O110" s="20">
        <f t="shared" si="76"/>
        <v>16</v>
      </c>
      <c r="P110" s="20">
        <f t="shared" si="76"/>
        <v>0</v>
      </c>
      <c r="Q110" s="21">
        <f t="shared" si="76"/>
        <v>10</v>
      </c>
      <c r="R110" s="127">
        <f t="shared" si="71"/>
        <v>0.16240357287860333</v>
      </c>
      <c r="S110" s="198">
        <f>SUM(S98,S101,S104,S107)</f>
        <v>3</v>
      </c>
      <c r="T110" s="128">
        <f t="shared" si="72"/>
        <v>0.12180267965895249</v>
      </c>
      <c r="U110" s="129">
        <f t="shared" si="73"/>
        <v>8</v>
      </c>
      <c r="V110" s="20">
        <f>SUM(V98,V101,V104,V107)</f>
        <v>767</v>
      </c>
      <c r="W110" s="209">
        <f t="shared" si="74"/>
        <v>31.140885099472186</v>
      </c>
      <c r="X110" s="198">
        <f>SUM(X98,X101,X104,X107)</f>
        <v>1604</v>
      </c>
      <c r="Y110" s="277"/>
      <c r="Z110" s="281"/>
    </row>
    <row r="111" spans="1:26" ht="9.75">
      <c r="A111" s="303"/>
      <c r="B111" s="105" t="s">
        <v>98</v>
      </c>
      <c r="C111" s="195"/>
      <c r="D111" s="195"/>
      <c r="E111" s="196"/>
      <c r="F111" s="156">
        <f>SUM(F99,F102,F105,F108)</f>
        <v>117</v>
      </c>
      <c r="G111" s="197"/>
      <c r="H111" s="107">
        <f t="shared" si="69"/>
        <v>6</v>
      </c>
      <c r="I111" s="108">
        <f t="shared" si="57"/>
        <v>5.128205128205128</v>
      </c>
      <c r="J111" s="107">
        <f t="shared" si="58"/>
        <v>6</v>
      </c>
      <c r="K111" s="108">
        <f t="shared" si="59"/>
        <v>100</v>
      </c>
      <c r="L111" s="106">
        <f aca="true" t="shared" si="77" ref="L111:Q111">SUM(L99,L102,L105,L108)</f>
        <v>4</v>
      </c>
      <c r="M111" s="106">
        <f t="shared" si="77"/>
        <v>0</v>
      </c>
      <c r="N111" s="106">
        <f t="shared" si="77"/>
        <v>0</v>
      </c>
      <c r="O111" s="106">
        <f t="shared" si="77"/>
        <v>2</v>
      </c>
      <c r="P111" s="106">
        <f t="shared" si="77"/>
        <v>0</v>
      </c>
      <c r="Q111" s="109">
        <f t="shared" si="77"/>
        <v>0</v>
      </c>
      <c r="R111" s="110">
        <f t="shared" si="71"/>
        <v>0</v>
      </c>
      <c r="S111" s="199">
        <f>SUM(S99,S102,S105,S108)</f>
        <v>0</v>
      </c>
      <c r="T111" s="111">
        <f t="shared" si="72"/>
        <v>0</v>
      </c>
      <c r="U111" s="112">
        <f t="shared" si="73"/>
        <v>0</v>
      </c>
      <c r="V111" s="106">
        <f>SUM(V99,V102,V105,V108)</f>
        <v>27</v>
      </c>
      <c r="W111" s="210">
        <f t="shared" si="74"/>
        <v>23.076923076923077</v>
      </c>
      <c r="X111" s="199">
        <f>SUM(X99,X102,X105,X108)</f>
        <v>48</v>
      </c>
      <c r="Y111" s="278"/>
      <c r="Z111" s="282"/>
    </row>
    <row r="112" spans="1:26" ht="10.5" thickBot="1">
      <c r="A112" s="304"/>
      <c r="B112" s="113" t="s">
        <v>99</v>
      </c>
      <c r="C112" s="40">
        <f t="shared" si="75"/>
        <v>46587</v>
      </c>
      <c r="D112" s="40">
        <f t="shared" si="75"/>
        <v>25702</v>
      </c>
      <c r="E112" s="130">
        <f t="shared" si="70"/>
        <v>55.16989718161719</v>
      </c>
      <c r="F112" s="164">
        <f>SUM(F100,F103,F106,F109)</f>
        <v>2471</v>
      </c>
      <c r="G112" s="115">
        <f t="shared" si="68"/>
        <v>9.614037818068633</v>
      </c>
      <c r="H112" s="116">
        <f t="shared" si="69"/>
        <v>201</v>
      </c>
      <c r="I112" s="117">
        <f t="shared" si="57"/>
        <v>8.134358559287739</v>
      </c>
      <c r="J112" s="116">
        <f t="shared" si="58"/>
        <v>180</v>
      </c>
      <c r="K112" s="117">
        <f t="shared" si="59"/>
        <v>89.55223880597015</v>
      </c>
      <c r="L112" s="40">
        <f aca="true" t="shared" si="78" ref="L112:Q112">SUM(L100,L103,L106,L109)</f>
        <v>96</v>
      </c>
      <c r="M112" s="40">
        <f t="shared" si="78"/>
        <v>8</v>
      </c>
      <c r="N112" s="40">
        <f t="shared" si="78"/>
        <v>0</v>
      </c>
      <c r="O112" s="40">
        <f t="shared" si="78"/>
        <v>76</v>
      </c>
      <c r="P112" s="40">
        <f t="shared" si="78"/>
        <v>0</v>
      </c>
      <c r="Q112" s="41">
        <f t="shared" si="78"/>
        <v>21</v>
      </c>
      <c r="R112" s="119">
        <f t="shared" si="71"/>
        <v>0.3237555645487657</v>
      </c>
      <c r="S112" s="200">
        <f>SUM(S100,S103,S106,S109)</f>
        <v>4</v>
      </c>
      <c r="T112" s="120">
        <f t="shared" si="72"/>
        <v>0.16187778227438285</v>
      </c>
      <c r="U112" s="121">
        <f t="shared" si="73"/>
        <v>4.444444444444445</v>
      </c>
      <c r="V112" s="40">
        <f>SUM(V100,V103,V106,V109)</f>
        <v>635</v>
      </c>
      <c r="W112" s="211">
        <f t="shared" si="74"/>
        <v>25.69809793605828</v>
      </c>
      <c r="X112" s="200">
        <f>SUM(X100,X103,X106,X109)</f>
        <v>1314</v>
      </c>
      <c r="Y112" s="200">
        <f>SUM(Y100,Y103,Y106,Y109)</f>
        <v>2593</v>
      </c>
      <c r="Z112" s="288">
        <f>(F112+Y112-X112)/D112*100</f>
        <v>14.590304256478095</v>
      </c>
    </row>
    <row r="113" spans="1:26" ht="9.75">
      <c r="A113" s="300" t="s">
        <v>90</v>
      </c>
      <c r="B113" s="44" t="s">
        <v>78</v>
      </c>
      <c r="C113" s="22">
        <f>1580+11541</f>
        <v>13121</v>
      </c>
      <c r="D113" s="148">
        <f>208+2528</f>
        <v>2736</v>
      </c>
      <c r="E113" s="136">
        <f t="shared" si="70"/>
        <v>20.85206920204253</v>
      </c>
      <c r="F113" s="158">
        <v>730</v>
      </c>
      <c r="G113" s="149">
        <f aca="true" t="shared" si="79" ref="G113:G127">F113/D113*100</f>
        <v>26.6812865497076</v>
      </c>
      <c r="H113" s="150">
        <f aca="true" t="shared" si="80" ref="H113:H127">SUM(L113:Q113)</f>
        <v>23</v>
      </c>
      <c r="I113" s="151">
        <f aca="true" t="shared" si="81" ref="I113:I127">H113/F113*100</f>
        <v>3.1506849315068495</v>
      </c>
      <c r="J113" s="150">
        <f t="shared" si="58"/>
        <v>2</v>
      </c>
      <c r="K113" s="151">
        <f t="shared" si="59"/>
        <v>8.695652173913043</v>
      </c>
      <c r="L113" s="148">
        <v>2</v>
      </c>
      <c r="M113" s="148">
        <v>0</v>
      </c>
      <c r="N113" s="148">
        <v>0</v>
      </c>
      <c r="O113" s="148">
        <v>0</v>
      </c>
      <c r="P113" s="148">
        <v>0</v>
      </c>
      <c r="Q113" s="152">
        <v>21</v>
      </c>
      <c r="R113" s="165">
        <f t="shared" si="71"/>
        <v>0</v>
      </c>
      <c r="S113" s="201">
        <v>0</v>
      </c>
      <c r="T113" s="153">
        <f t="shared" si="72"/>
        <v>0</v>
      </c>
      <c r="U113" s="154">
        <f t="shared" si="73"/>
        <v>0</v>
      </c>
      <c r="V113" s="148">
        <v>0</v>
      </c>
      <c r="W113" s="212">
        <f t="shared" si="74"/>
        <v>0</v>
      </c>
      <c r="X113" s="201">
        <v>535</v>
      </c>
      <c r="Y113" s="280"/>
      <c r="Z113" s="283"/>
    </row>
    <row r="114" spans="1:26" ht="9.75">
      <c r="A114" s="297"/>
      <c r="B114" s="138" t="s">
        <v>101</v>
      </c>
      <c r="C114" s="194"/>
      <c r="D114" s="195"/>
      <c r="E114" s="196"/>
      <c r="F114" s="159">
        <v>0</v>
      </c>
      <c r="G114" s="197"/>
      <c r="H114" s="60">
        <f t="shared" si="80"/>
        <v>0</v>
      </c>
      <c r="I114" s="67" t="e">
        <f t="shared" si="81"/>
        <v>#DIV/0!</v>
      </c>
      <c r="J114" s="60">
        <f t="shared" si="58"/>
        <v>0</v>
      </c>
      <c r="K114" s="67" t="e">
        <f t="shared" si="59"/>
        <v>#DIV/0!</v>
      </c>
      <c r="L114" s="131">
        <v>0</v>
      </c>
      <c r="M114" s="131">
        <v>0</v>
      </c>
      <c r="N114" s="131">
        <v>0</v>
      </c>
      <c r="O114" s="131">
        <v>0</v>
      </c>
      <c r="P114" s="131">
        <v>0</v>
      </c>
      <c r="Q114" s="132">
        <v>0</v>
      </c>
      <c r="R114" s="166" t="e">
        <f t="shared" si="71"/>
        <v>#DIV/0!</v>
      </c>
      <c r="S114" s="202">
        <v>0</v>
      </c>
      <c r="T114" s="133" t="e">
        <f t="shared" si="72"/>
        <v>#DIV/0!</v>
      </c>
      <c r="U114" s="134" t="e">
        <f t="shared" si="73"/>
        <v>#DIV/0!</v>
      </c>
      <c r="V114" s="131">
        <v>0</v>
      </c>
      <c r="W114" s="213" t="e">
        <f t="shared" si="74"/>
        <v>#DIV/0!</v>
      </c>
      <c r="X114" s="202">
        <v>0</v>
      </c>
      <c r="Y114" s="168"/>
      <c r="Z114" s="282"/>
    </row>
    <row r="115" spans="1:26" ht="9.75">
      <c r="A115" s="297"/>
      <c r="B115" s="45" t="s">
        <v>99</v>
      </c>
      <c r="C115" s="23">
        <v>11541</v>
      </c>
      <c r="D115" s="23">
        <v>2528</v>
      </c>
      <c r="E115" s="135">
        <f t="shared" si="70"/>
        <v>21.904514340178494</v>
      </c>
      <c r="F115" s="162">
        <v>871</v>
      </c>
      <c r="G115" s="25">
        <f t="shared" si="79"/>
        <v>34.45411392405063</v>
      </c>
      <c r="H115" s="26">
        <f t="shared" si="80"/>
        <v>130</v>
      </c>
      <c r="I115" s="27">
        <f t="shared" si="81"/>
        <v>14.925373134328357</v>
      </c>
      <c r="J115" s="26">
        <f t="shared" si="58"/>
        <v>59</v>
      </c>
      <c r="K115" s="27">
        <f t="shared" si="59"/>
        <v>45.38461538461539</v>
      </c>
      <c r="L115" s="23">
        <v>40</v>
      </c>
      <c r="M115" s="23">
        <v>0</v>
      </c>
      <c r="N115" s="23">
        <v>0</v>
      </c>
      <c r="O115" s="23">
        <v>19</v>
      </c>
      <c r="P115" s="23">
        <v>0</v>
      </c>
      <c r="Q115" s="28">
        <v>71</v>
      </c>
      <c r="R115" s="29">
        <f t="shared" si="71"/>
        <v>0</v>
      </c>
      <c r="S115" s="205">
        <v>0</v>
      </c>
      <c r="T115" s="100">
        <f t="shared" si="72"/>
        <v>0</v>
      </c>
      <c r="U115" s="24">
        <f t="shared" si="73"/>
        <v>0</v>
      </c>
      <c r="V115" s="23">
        <v>217</v>
      </c>
      <c r="W115" s="216">
        <f t="shared" si="74"/>
        <v>24.913892078071182</v>
      </c>
      <c r="X115" s="205">
        <v>489</v>
      </c>
      <c r="Y115" s="279">
        <v>1022</v>
      </c>
      <c r="Z115" s="289">
        <f>(F115+Y115-X115)/D115*100</f>
        <v>55.5379746835443</v>
      </c>
    </row>
    <row r="116" spans="1:26" ht="9.75">
      <c r="A116" s="299" t="s">
        <v>32</v>
      </c>
      <c r="B116" s="46" t="s">
        <v>78</v>
      </c>
      <c r="C116" s="30">
        <f>642+3612</f>
        <v>4254</v>
      </c>
      <c r="D116" s="143">
        <f>195+1060</f>
        <v>1255</v>
      </c>
      <c r="E116" s="137">
        <f t="shared" si="70"/>
        <v>29.501645510108133</v>
      </c>
      <c r="F116" s="161">
        <v>153</v>
      </c>
      <c r="G116" s="144">
        <f t="shared" si="79"/>
        <v>12.191235059760956</v>
      </c>
      <c r="H116" s="61">
        <f t="shared" si="80"/>
        <v>12</v>
      </c>
      <c r="I116" s="68">
        <f t="shared" si="81"/>
        <v>7.8431372549019605</v>
      </c>
      <c r="J116" s="61">
        <f t="shared" si="58"/>
        <v>12</v>
      </c>
      <c r="K116" s="68">
        <f t="shared" si="59"/>
        <v>100</v>
      </c>
      <c r="L116" s="143">
        <v>10</v>
      </c>
      <c r="M116" s="143">
        <v>0</v>
      </c>
      <c r="N116" s="143">
        <v>0</v>
      </c>
      <c r="O116" s="143">
        <v>2</v>
      </c>
      <c r="P116" s="143">
        <v>0</v>
      </c>
      <c r="Q116" s="145">
        <v>0</v>
      </c>
      <c r="R116" s="167">
        <f t="shared" si="71"/>
        <v>0</v>
      </c>
      <c r="S116" s="204">
        <v>0</v>
      </c>
      <c r="T116" s="146">
        <f t="shared" si="72"/>
        <v>0</v>
      </c>
      <c r="U116" s="147">
        <f t="shared" si="73"/>
        <v>0</v>
      </c>
      <c r="V116" s="143">
        <v>46</v>
      </c>
      <c r="W116" s="215">
        <f t="shared" si="74"/>
        <v>30.065359477124183</v>
      </c>
      <c r="X116" s="204">
        <v>24</v>
      </c>
      <c r="Y116" s="280"/>
      <c r="Z116" s="283"/>
    </row>
    <row r="117" spans="1:26" ht="9.75">
      <c r="A117" s="299"/>
      <c r="B117" s="138" t="s">
        <v>101</v>
      </c>
      <c r="C117" s="194"/>
      <c r="D117" s="195"/>
      <c r="E117" s="196"/>
      <c r="F117" s="159">
        <v>0</v>
      </c>
      <c r="G117" s="197"/>
      <c r="H117" s="60">
        <f t="shared" si="80"/>
        <v>0</v>
      </c>
      <c r="I117" s="67" t="e">
        <f t="shared" si="81"/>
        <v>#DIV/0!</v>
      </c>
      <c r="J117" s="60">
        <f t="shared" si="58"/>
        <v>0</v>
      </c>
      <c r="K117" s="67" t="e">
        <f t="shared" si="59"/>
        <v>#DIV/0!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132">
        <v>0</v>
      </c>
      <c r="R117" s="166" t="e">
        <f t="shared" si="71"/>
        <v>#DIV/0!</v>
      </c>
      <c r="S117" s="202">
        <v>0</v>
      </c>
      <c r="T117" s="133" t="e">
        <f t="shared" si="72"/>
        <v>#DIV/0!</v>
      </c>
      <c r="U117" s="134" t="e">
        <f t="shared" si="73"/>
        <v>#DIV/0!</v>
      </c>
      <c r="V117" s="131">
        <v>0</v>
      </c>
      <c r="W117" s="213" t="e">
        <f t="shared" si="74"/>
        <v>#DIV/0!</v>
      </c>
      <c r="X117" s="202">
        <v>0</v>
      </c>
      <c r="Y117" s="168"/>
      <c r="Z117" s="282"/>
    </row>
    <row r="118" spans="1:26" ht="9.75">
      <c r="A118" s="299"/>
      <c r="B118" s="45" t="s">
        <v>99</v>
      </c>
      <c r="C118" s="23">
        <v>3612</v>
      </c>
      <c r="D118" s="23">
        <v>1060</v>
      </c>
      <c r="E118" s="135">
        <f t="shared" si="70"/>
        <v>29.346622369878183</v>
      </c>
      <c r="F118" s="162">
        <v>648</v>
      </c>
      <c r="G118" s="25">
        <f t="shared" si="79"/>
        <v>61.13207547169811</v>
      </c>
      <c r="H118" s="26">
        <f t="shared" si="80"/>
        <v>26</v>
      </c>
      <c r="I118" s="27">
        <f t="shared" si="81"/>
        <v>4.012345679012346</v>
      </c>
      <c r="J118" s="26">
        <f t="shared" si="58"/>
        <v>26</v>
      </c>
      <c r="K118" s="27">
        <f t="shared" si="59"/>
        <v>100</v>
      </c>
      <c r="L118" s="23">
        <v>15</v>
      </c>
      <c r="M118" s="23">
        <v>1</v>
      </c>
      <c r="N118" s="23">
        <v>0</v>
      </c>
      <c r="O118" s="23">
        <v>10</v>
      </c>
      <c r="P118" s="23">
        <v>0</v>
      </c>
      <c r="Q118" s="28">
        <v>0</v>
      </c>
      <c r="R118" s="29">
        <f t="shared" si="71"/>
        <v>0.15432098765432098</v>
      </c>
      <c r="S118" s="205">
        <v>1</v>
      </c>
      <c r="T118" s="100">
        <f t="shared" si="72"/>
        <v>0.15432098765432098</v>
      </c>
      <c r="U118" s="24">
        <f t="shared" si="73"/>
        <v>3.8461538461538463</v>
      </c>
      <c r="V118" s="23">
        <v>164</v>
      </c>
      <c r="W118" s="216">
        <f t="shared" si="74"/>
        <v>25.308641975308642</v>
      </c>
      <c r="X118" s="205">
        <v>259</v>
      </c>
      <c r="Y118" s="279">
        <v>396</v>
      </c>
      <c r="Z118" s="289">
        <f>(F118+Y118-X118)/D118*100</f>
        <v>74.05660377358491</v>
      </c>
    </row>
    <row r="119" spans="1:26" ht="9.75">
      <c r="A119" s="299" t="s">
        <v>33</v>
      </c>
      <c r="B119" s="46" t="s">
        <v>78</v>
      </c>
      <c r="C119" s="30">
        <f>332+2267</f>
        <v>2599</v>
      </c>
      <c r="D119" s="143">
        <f>74+425</f>
        <v>499</v>
      </c>
      <c r="E119" s="137">
        <f t="shared" si="70"/>
        <v>19.199692189303576</v>
      </c>
      <c r="F119" s="161">
        <v>232</v>
      </c>
      <c r="G119" s="144">
        <f t="shared" si="79"/>
        <v>46.49298597194389</v>
      </c>
      <c r="H119" s="61">
        <f t="shared" si="80"/>
        <v>1</v>
      </c>
      <c r="I119" s="68">
        <f t="shared" si="81"/>
        <v>0.43103448275862066</v>
      </c>
      <c r="J119" s="61">
        <f t="shared" si="58"/>
        <v>1</v>
      </c>
      <c r="K119" s="68">
        <f t="shared" si="59"/>
        <v>100</v>
      </c>
      <c r="L119" s="143">
        <v>1</v>
      </c>
      <c r="M119" s="143">
        <v>0</v>
      </c>
      <c r="N119" s="143">
        <v>0</v>
      </c>
      <c r="O119" s="143">
        <v>0</v>
      </c>
      <c r="P119" s="143">
        <v>0</v>
      </c>
      <c r="Q119" s="145">
        <v>0</v>
      </c>
      <c r="R119" s="167">
        <f t="shared" si="71"/>
        <v>0</v>
      </c>
      <c r="S119" s="204">
        <v>0</v>
      </c>
      <c r="T119" s="146">
        <f t="shared" si="72"/>
        <v>0</v>
      </c>
      <c r="U119" s="147">
        <f t="shared" si="73"/>
        <v>0</v>
      </c>
      <c r="V119" s="143">
        <v>79</v>
      </c>
      <c r="W119" s="215">
        <f t="shared" si="74"/>
        <v>34.05172413793103</v>
      </c>
      <c r="X119" s="204">
        <v>170</v>
      </c>
      <c r="Y119" s="280"/>
      <c r="Z119" s="283"/>
    </row>
    <row r="120" spans="1:26" ht="9.75">
      <c r="A120" s="299"/>
      <c r="B120" s="138" t="s">
        <v>101</v>
      </c>
      <c r="C120" s="194"/>
      <c r="D120" s="195"/>
      <c r="E120" s="196"/>
      <c r="F120" s="159">
        <v>0</v>
      </c>
      <c r="G120" s="197"/>
      <c r="H120" s="60">
        <f t="shared" si="80"/>
        <v>0</v>
      </c>
      <c r="I120" s="67" t="e">
        <f t="shared" si="81"/>
        <v>#DIV/0!</v>
      </c>
      <c r="J120" s="60">
        <f t="shared" si="58"/>
        <v>0</v>
      </c>
      <c r="K120" s="67" t="e">
        <f t="shared" si="59"/>
        <v>#DIV/0!</v>
      </c>
      <c r="L120" s="131">
        <v>0</v>
      </c>
      <c r="M120" s="131">
        <v>0</v>
      </c>
      <c r="N120" s="131">
        <v>0</v>
      </c>
      <c r="O120" s="131">
        <v>0</v>
      </c>
      <c r="P120" s="131">
        <v>0</v>
      </c>
      <c r="Q120" s="132">
        <v>0</v>
      </c>
      <c r="R120" s="166" t="e">
        <f t="shared" si="71"/>
        <v>#DIV/0!</v>
      </c>
      <c r="S120" s="202">
        <v>0</v>
      </c>
      <c r="T120" s="133" t="e">
        <f t="shared" si="72"/>
        <v>#DIV/0!</v>
      </c>
      <c r="U120" s="134" t="e">
        <f t="shared" si="73"/>
        <v>#DIV/0!</v>
      </c>
      <c r="V120" s="131">
        <v>0</v>
      </c>
      <c r="W120" s="213" t="e">
        <f t="shared" si="74"/>
        <v>#DIV/0!</v>
      </c>
      <c r="X120" s="202">
        <v>0</v>
      </c>
      <c r="Y120" s="168"/>
      <c r="Z120" s="282"/>
    </row>
    <row r="121" spans="1:26" ht="9.75">
      <c r="A121" s="299"/>
      <c r="B121" s="45" t="s">
        <v>99</v>
      </c>
      <c r="C121" s="23">
        <v>2267</v>
      </c>
      <c r="D121" s="23">
        <v>425</v>
      </c>
      <c r="E121" s="135">
        <f t="shared" si="70"/>
        <v>18.74724305249228</v>
      </c>
      <c r="F121" s="162">
        <v>290</v>
      </c>
      <c r="G121" s="25">
        <f t="shared" si="79"/>
        <v>68.23529411764706</v>
      </c>
      <c r="H121" s="26">
        <f t="shared" si="80"/>
        <v>16</v>
      </c>
      <c r="I121" s="27">
        <f t="shared" si="81"/>
        <v>5.517241379310345</v>
      </c>
      <c r="J121" s="26">
        <f t="shared" si="58"/>
        <v>13</v>
      </c>
      <c r="K121" s="27">
        <f t="shared" si="59"/>
        <v>81.25</v>
      </c>
      <c r="L121" s="23">
        <v>6</v>
      </c>
      <c r="M121" s="23">
        <v>2</v>
      </c>
      <c r="N121" s="23">
        <v>1</v>
      </c>
      <c r="O121" s="23">
        <v>4</v>
      </c>
      <c r="P121" s="23">
        <v>0</v>
      </c>
      <c r="Q121" s="28">
        <v>3</v>
      </c>
      <c r="R121" s="29">
        <f t="shared" si="71"/>
        <v>0.6896551724137931</v>
      </c>
      <c r="S121" s="205">
        <v>2</v>
      </c>
      <c r="T121" s="100">
        <f t="shared" si="72"/>
        <v>0.6896551724137931</v>
      </c>
      <c r="U121" s="24">
        <f t="shared" si="73"/>
        <v>15.384615384615385</v>
      </c>
      <c r="V121" s="23">
        <v>85</v>
      </c>
      <c r="W121" s="216">
        <f t="shared" si="74"/>
        <v>29.310344827586203</v>
      </c>
      <c r="X121" s="205">
        <v>153</v>
      </c>
      <c r="Y121" s="279">
        <v>304</v>
      </c>
      <c r="Z121" s="289">
        <f>(F121+Y121-X121)/D121*100</f>
        <v>103.76470588235294</v>
      </c>
    </row>
    <row r="122" spans="1:26" ht="9.75">
      <c r="A122" s="299" t="s">
        <v>34</v>
      </c>
      <c r="B122" s="46" t="s">
        <v>78</v>
      </c>
      <c r="C122" s="30">
        <f>62+584</f>
        <v>646</v>
      </c>
      <c r="D122" s="143">
        <f>12+140</f>
        <v>152</v>
      </c>
      <c r="E122" s="137">
        <f t="shared" si="70"/>
        <v>23.52941176470588</v>
      </c>
      <c r="F122" s="161">
        <v>5</v>
      </c>
      <c r="G122" s="144">
        <f t="shared" si="79"/>
        <v>3.289473684210526</v>
      </c>
      <c r="H122" s="61">
        <f t="shared" si="80"/>
        <v>1</v>
      </c>
      <c r="I122" s="68">
        <f t="shared" si="81"/>
        <v>20</v>
      </c>
      <c r="J122" s="61">
        <f t="shared" si="58"/>
        <v>1</v>
      </c>
      <c r="K122" s="68">
        <f t="shared" si="59"/>
        <v>100</v>
      </c>
      <c r="L122" s="143">
        <v>0</v>
      </c>
      <c r="M122" s="143">
        <v>0</v>
      </c>
      <c r="N122" s="143">
        <v>0</v>
      </c>
      <c r="O122" s="143">
        <v>1</v>
      </c>
      <c r="P122" s="143">
        <v>0</v>
      </c>
      <c r="Q122" s="145">
        <v>0</v>
      </c>
      <c r="R122" s="167">
        <f t="shared" si="71"/>
        <v>0</v>
      </c>
      <c r="S122" s="204">
        <v>0</v>
      </c>
      <c r="T122" s="146">
        <f t="shared" si="72"/>
        <v>0</v>
      </c>
      <c r="U122" s="147">
        <f t="shared" si="73"/>
        <v>0</v>
      </c>
      <c r="V122" s="143">
        <v>4</v>
      </c>
      <c r="W122" s="215">
        <f t="shared" si="74"/>
        <v>80</v>
      </c>
      <c r="X122" s="204">
        <v>1</v>
      </c>
      <c r="Y122" s="280"/>
      <c r="Z122" s="283"/>
    </row>
    <row r="123" spans="1:26" ht="9.75">
      <c r="A123" s="299"/>
      <c r="B123" s="138" t="s">
        <v>101</v>
      </c>
      <c r="C123" s="194"/>
      <c r="D123" s="195"/>
      <c r="E123" s="196"/>
      <c r="F123" s="159">
        <v>0</v>
      </c>
      <c r="G123" s="197"/>
      <c r="H123" s="60">
        <f t="shared" si="80"/>
        <v>0</v>
      </c>
      <c r="I123" s="67" t="e">
        <f t="shared" si="81"/>
        <v>#DIV/0!</v>
      </c>
      <c r="J123" s="60">
        <f t="shared" si="58"/>
        <v>0</v>
      </c>
      <c r="K123" s="67" t="e">
        <f t="shared" si="59"/>
        <v>#DIV/0!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132">
        <v>0</v>
      </c>
      <c r="R123" s="166" t="e">
        <f t="shared" si="71"/>
        <v>#DIV/0!</v>
      </c>
      <c r="S123" s="202">
        <v>0</v>
      </c>
      <c r="T123" s="133" t="e">
        <f t="shared" si="72"/>
        <v>#DIV/0!</v>
      </c>
      <c r="U123" s="134" t="e">
        <f t="shared" si="73"/>
        <v>#DIV/0!</v>
      </c>
      <c r="V123" s="131">
        <v>0</v>
      </c>
      <c r="W123" s="213" t="e">
        <f t="shared" si="74"/>
        <v>#DIV/0!</v>
      </c>
      <c r="X123" s="202">
        <v>0</v>
      </c>
      <c r="Y123" s="168"/>
      <c r="Z123" s="282"/>
    </row>
    <row r="124" spans="1:26" ht="10.5" thickBot="1">
      <c r="A124" s="305"/>
      <c r="B124" s="47" t="s">
        <v>99</v>
      </c>
      <c r="C124" s="31">
        <v>584</v>
      </c>
      <c r="D124" s="31">
        <v>140</v>
      </c>
      <c r="E124" s="139">
        <f t="shared" si="70"/>
        <v>23.972602739726025</v>
      </c>
      <c r="F124" s="160">
        <v>95</v>
      </c>
      <c r="G124" s="140">
        <f t="shared" si="79"/>
        <v>67.85714285714286</v>
      </c>
      <c r="H124" s="141">
        <f t="shared" si="80"/>
        <v>6</v>
      </c>
      <c r="I124" s="142">
        <f t="shared" si="81"/>
        <v>6.315789473684211</v>
      </c>
      <c r="J124" s="141">
        <f t="shared" si="58"/>
        <v>5</v>
      </c>
      <c r="K124" s="142">
        <f t="shared" si="59"/>
        <v>83.33333333333334</v>
      </c>
      <c r="L124" s="31">
        <v>2</v>
      </c>
      <c r="M124" s="31">
        <v>0</v>
      </c>
      <c r="N124" s="31">
        <v>0</v>
      </c>
      <c r="O124" s="31">
        <v>3</v>
      </c>
      <c r="P124" s="31">
        <v>0</v>
      </c>
      <c r="Q124" s="33">
        <v>1</v>
      </c>
      <c r="R124" s="34">
        <f t="shared" si="71"/>
        <v>0</v>
      </c>
      <c r="S124" s="203">
        <v>0</v>
      </c>
      <c r="T124" s="101">
        <f t="shared" si="72"/>
        <v>0</v>
      </c>
      <c r="U124" s="32">
        <f t="shared" si="73"/>
        <v>0</v>
      </c>
      <c r="V124" s="31">
        <v>6</v>
      </c>
      <c r="W124" s="214">
        <f t="shared" si="74"/>
        <v>6.315789473684211</v>
      </c>
      <c r="X124" s="203">
        <v>57</v>
      </c>
      <c r="Y124" s="279">
        <v>69</v>
      </c>
      <c r="Z124" s="289">
        <f>(F124+Y124-X124)/D124*100</f>
        <v>76.42857142857142</v>
      </c>
    </row>
    <row r="125" spans="1:26" ht="9.75">
      <c r="A125" s="302" t="s">
        <v>45</v>
      </c>
      <c r="B125" s="43" t="s">
        <v>78</v>
      </c>
      <c r="C125" s="20">
        <f aca="true" t="shared" si="82" ref="C125:D127">SUM(C113,C116,C119,C122)</f>
        <v>20620</v>
      </c>
      <c r="D125" s="20">
        <f>SUM(D113,D116,D119,D122)</f>
        <v>4642</v>
      </c>
      <c r="E125" s="104">
        <f t="shared" si="70"/>
        <v>22.512124151309408</v>
      </c>
      <c r="F125" s="163">
        <f>SUM(F113,F116,F119,F122)</f>
        <v>1120</v>
      </c>
      <c r="G125" s="123">
        <f t="shared" si="79"/>
        <v>24.127531236535976</v>
      </c>
      <c r="H125" s="124">
        <f t="shared" si="80"/>
        <v>37</v>
      </c>
      <c r="I125" s="125">
        <f t="shared" si="81"/>
        <v>3.303571428571429</v>
      </c>
      <c r="J125" s="124">
        <f t="shared" si="58"/>
        <v>16</v>
      </c>
      <c r="K125" s="125">
        <f t="shared" si="59"/>
        <v>43.24324324324324</v>
      </c>
      <c r="L125" s="20">
        <f aca="true" t="shared" si="83" ref="L125:Q125">SUM(L113,L116,L119,L122)</f>
        <v>13</v>
      </c>
      <c r="M125" s="20">
        <f t="shared" si="83"/>
        <v>0</v>
      </c>
      <c r="N125" s="20">
        <f t="shared" si="83"/>
        <v>0</v>
      </c>
      <c r="O125" s="20">
        <f t="shared" si="83"/>
        <v>3</v>
      </c>
      <c r="P125" s="20">
        <f t="shared" si="83"/>
        <v>0</v>
      </c>
      <c r="Q125" s="21">
        <f t="shared" si="83"/>
        <v>21</v>
      </c>
      <c r="R125" s="127">
        <f t="shared" si="71"/>
        <v>0</v>
      </c>
      <c r="S125" s="198">
        <f>SUM(S113,S116,S119,S122)</f>
        <v>0</v>
      </c>
      <c r="T125" s="128">
        <f t="shared" si="72"/>
        <v>0</v>
      </c>
      <c r="U125" s="129">
        <f t="shared" si="73"/>
        <v>0</v>
      </c>
      <c r="V125" s="20">
        <f>SUM(V113,V116,V119,V122)</f>
        <v>129</v>
      </c>
      <c r="W125" s="209">
        <f t="shared" si="74"/>
        <v>11.517857142857142</v>
      </c>
      <c r="X125" s="198">
        <f>SUM(X113,X116,X119,X122)</f>
        <v>730</v>
      </c>
      <c r="Y125" s="277"/>
      <c r="Z125" s="281"/>
    </row>
    <row r="126" spans="1:26" ht="9.75">
      <c r="A126" s="303"/>
      <c r="B126" s="105" t="s">
        <v>98</v>
      </c>
      <c r="C126" s="195"/>
      <c r="D126" s="195"/>
      <c r="E126" s="196"/>
      <c r="F126" s="156">
        <f>SUM(F114,F117,F120,F123)</f>
        <v>0</v>
      </c>
      <c r="G126" s="197"/>
      <c r="H126" s="107">
        <f t="shared" si="80"/>
        <v>0</v>
      </c>
      <c r="I126" s="108" t="e">
        <f t="shared" si="81"/>
        <v>#DIV/0!</v>
      </c>
      <c r="J126" s="107">
        <f t="shared" si="58"/>
        <v>0</v>
      </c>
      <c r="K126" s="108" t="e">
        <f t="shared" si="59"/>
        <v>#DIV/0!</v>
      </c>
      <c r="L126" s="106">
        <f aca="true" t="shared" si="84" ref="L126:Q126">SUM(L114,L117,L120,L123)</f>
        <v>0</v>
      </c>
      <c r="M126" s="106">
        <f t="shared" si="84"/>
        <v>0</v>
      </c>
      <c r="N126" s="106">
        <f t="shared" si="84"/>
        <v>0</v>
      </c>
      <c r="O126" s="106">
        <f t="shared" si="84"/>
        <v>0</v>
      </c>
      <c r="P126" s="106">
        <f t="shared" si="84"/>
        <v>0</v>
      </c>
      <c r="Q126" s="109">
        <f t="shared" si="84"/>
        <v>0</v>
      </c>
      <c r="R126" s="110" t="e">
        <f t="shared" si="71"/>
        <v>#DIV/0!</v>
      </c>
      <c r="S126" s="199">
        <f>SUM(S114,S117,S120,S123)</f>
        <v>0</v>
      </c>
      <c r="T126" s="111" t="e">
        <f t="shared" si="72"/>
        <v>#DIV/0!</v>
      </c>
      <c r="U126" s="112" t="e">
        <f t="shared" si="73"/>
        <v>#DIV/0!</v>
      </c>
      <c r="V126" s="106">
        <f>SUM(V114,V117,V120,V123)</f>
        <v>0</v>
      </c>
      <c r="W126" s="210" t="e">
        <f t="shared" si="74"/>
        <v>#DIV/0!</v>
      </c>
      <c r="X126" s="199">
        <f>SUM(X114,X117,X120,X123)</f>
        <v>0</v>
      </c>
      <c r="Y126" s="278"/>
      <c r="Z126" s="282"/>
    </row>
    <row r="127" spans="1:26" ht="10.5" thickBot="1">
      <c r="A127" s="304"/>
      <c r="B127" s="113" t="s">
        <v>99</v>
      </c>
      <c r="C127" s="40">
        <f t="shared" si="82"/>
        <v>18004</v>
      </c>
      <c r="D127" s="40">
        <f t="shared" si="82"/>
        <v>4153</v>
      </c>
      <c r="E127" s="130">
        <f t="shared" si="70"/>
        <v>23.067096200844254</v>
      </c>
      <c r="F127" s="164">
        <f>SUM(F115,F118,F121,F124)</f>
        <v>1904</v>
      </c>
      <c r="G127" s="115">
        <f t="shared" si="79"/>
        <v>45.84637611365278</v>
      </c>
      <c r="H127" s="116">
        <f t="shared" si="80"/>
        <v>178</v>
      </c>
      <c r="I127" s="117">
        <f t="shared" si="81"/>
        <v>9.34873949579832</v>
      </c>
      <c r="J127" s="116">
        <f t="shared" si="58"/>
        <v>103</v>
      </c>
      <c r="K127" s="117">
        <f t="shared" si="59"/>
        <v>57.865168539325836</v>
      </c>
      <c r="L127" s="40">
        <f aca="true" t="shared" si="85" ref="L127:Q127">SUM(L115,L118,L121,L124)</f>
        <v>63</v>
      </c>
      <c r="M127" s="40">
        <f t="shared" si="85"/>
        <v>3</v>
      </c>
      <c r="N127" s="40">
        <f t="shared" si="85"/>
        <v>1</v>
      </c>
      <c r="O127" s="40">
        <f t="shared" si="85"/>
        <v>36</v>
      </c>
      <c r="P127" s="40">
        <f t="shared" si="85"/>
        <v>0</v>
      </c>
      <c r="Q127" s="41">
        <f t="shared" si="85"/>
        <v>75</v>
      </c>
      <c r="R127" s="119">
        <f t="shared" si="71"/>
        <v>0.15756302521008403</v>
      </c>
      <c r="S127" s="200">
        <f>SUM(S115,S118,S121,S124)</f>
        <v>3</v>
      </c>
      <c r="T127" s="120">
        <f t="shared" si="72"/>
        <v>0.15756302521008403</v>
      </c>
      <c r="U127" s="121">
        <f t="shared" si="73"/>
        <v>2.912621359223301</v>
      </c>
      <c r="V127" s="40">
        <f>SUM(V115,V118,V121,V124)</f>
        <v>472</v>
      </c>
      <c r="W127" s="211">
        <f t="shared" si="74"/>
        <v>24.789915966386555</v>
      </c>
      <c r="X127" s="200">
        <f>SUM(X115,X118,X121,X124)</f>
        <v>958</v>
      </c>
      <c r="Y127" s="200">
        <f>SUM(Y115,Y118,Y121,Y124)</f>
        <v>1791</v>
      </c>
      <c r="Z127" s="288">
        <f>(F127+Y127-X127)/D127*100</f>
        <v>65.90416566337586</v>
      </c>
    </row>
    <row r="128" spans="23:26" ht="9.75" customHeight="1">
      <c r="W128" s="217"/>
      <c r="X128" s="208"/>
      <c r="Z128" s="5"/>
    </row>
    <row r="129" spans="23:24" ht="9.75" customHeight="1">
      <c r="W129" s="217"/>
      <c r="X129" s="208"/>
    </row>
    <row r="130" spans="23:24" ht="9.75" customHeight="1">
      <c r="W130" s="217"/>
      <c r="X130" s="208"/>
    </row>
    <row r="131" spans="23:24" ht="9.75" customHeight="1">
      <c r="W131" s="217"/>
      <c r="X131" s="208"/>
    </row>
    <row r="132" spans="23:24" ht="9.75" customHeight="1">
      <c r="W132" s="217"/>
      <c r="X132" s="208"/>
    </row>
    <row r="133" spans="23:24" ht="9.75" customHeight="1">
      <c r="W133" s="217"/>
      <c r="X133" s="208"/>
    </row>
    <row r="134" spans="23:24" ht="9.75" customHeight="1">
      <c r="W134" s="217"/>
      <c r="X134" s="208"/>
    </row>
    <row r="135" spans="23:24" ht="9.75" customHeight="1">
      <c r="W135" s="217"/>
      <c r="X135" s="208"/>
    </row>
    <row r="136" spans="23:24" ht="9.75" customHeight="1">
      <c r="W136" s="217"/>
      <c r="X136" s="208"/>
    </row>
    <row r="137" spans="23:24" ht="9.75" customHeight="1">
      <c r="W137" s="217"/>
      <c r="X137" s="208"/>
    </row>
    <row r="138" spans="23:24" ht="9.75" customHeight="1">
      <c r="W138" s="217"/>
      <c r="X138" s="208"/>
    </row>
    <row r="139" spans="23:24" ht="9.75" customHeight="1">
      <c r="W139" s="217"/>
      <c r="X139" s="208"/>
    </row>
    <row r="140" spans="23:24" ht="9.75" customHeight="1">
      <c r="W140" s="217"/>
      <c r="X140" s="208"/>
    </row>
    <row r="141" spans="23:24" ht="9.75" customHeight="1">
      <c r="W141" s="217"/>
      <c r="X141" s="208"/>
    </row>
    <row r="142" spans="23:24" ht="9.75" customHeight="1">
      <c r="W142" s="217"/>
      <c r="X142" s="208"/>
    </row>
    <row r="143" spans="23:24" ht="9.75" customHeight="1">
      <c r="W143" s="217"/>
      <c r="X143" s="208"/>
    </row>
    <row r="144" spans="23:24" ht="9.75" customHeight="1">
      <c r="W144" s="217"/>
      <c r="X144" s="208"/>
    </row>
    <row r="145" spans="23:24" ht="9.75" customHeight="1">
      <c r="W145" s="217"/>
      <c r="X145" s="208"/>
    </row>
    <row r="146" spans="23:24" ht="9.75" customHeight="1">
      <c r="W146" s="217"/>
      <c r="X146" s="208"/>
    </row>
    <row r="147" spans="23:24" ht="9.75" customHeight="1">
      <c r="W147" s="217"/>
      <c r="X147" s="208"/>
    </row>
    <row r="148" spans="23:24" ht="9.75" customHeight="1">
      <c r="W148" s="217"/>
      <c r="X148" s="208"/>
    </row>
    <row r="149" spans="23:24" ht="9.75" customHeight="1">
      <c r="W149" s="217"/>
      <c r="X149" s="208"/>
    </row>
    <row r="150" spans="23:24" ht="9.75" customHeight="1">
      <c r="W150" s="217"/>
      <c r="X150" s="208"/>
    </row>
    <row r="151" spans="23:24" ht="9.75" customHeight="1">
      <c r="W151" s="217"/>
      <c r="X151" s="208"/>
    </row>
    <row r="152" ht="9.75" customHeight="1">
      <c r="W152" s="217"/>
    </row>
    <row r="153" ht="9.75" customHeight="1">
      <c r="W153" s="217"/>
    </row>
    <row r="154" ht="9.75" customHeight="1">
      <c r="W154" s="217"/>
    </row>
    <row r="155" ht="9.75" customHeight="1">
      <c r="W155" s="217"/>
    </row>
    <row r="156" ht="9.75" customHeight="1">
      <c r="W156" s="217"/>
    </row>
    <row r="157" ht="9.75" customHeight="1">
      <c r="W157" s="217"/>
    </row>
    <row r="158" ht="9.75" customHeight="1">
      <c r="W158" s="217"/>
    </row>
    <row r="159" ht="9.75" customHeight="1">
      <c r="W159" s="217"/>
    </row>
    <row r="160" ht="9.75" customHeight="1">
      <c r="W160" s="217"/>
    </row>
    <row r="161" ht="9.75" customHeight="1">
      <c r="W161" s="217"/>
    </row>
    <row r="162" ht="9.75" customHeight="1">
      <c r="W162" s="217"/>
    </row>
    <row r="163" ht="9.75" customHeight="1">
      <c r="W163" s="217"/>
    </row>
    <row r="164" ht="9.75" customHeight="1">
      <c r="W164" s="217"/>
    </row>
    <row r="165" ht="9.75" customHeight="1">
      <c r="W165" s="217"/>
    </row>
    <row r="166" ht="9.75" customHeight="1">
      <c r="W166" s="217"/>
    </row>
    <row r="167" ht="9.75" customHeight="1">
      <c r="W167" s="217"/>
    </row>
    <row r="168" ht="9.75" customHeight="1">
      <c r="W168" s="217"/>
    </row>
    <row r="169" ht="9.75" customHeight="1">
      <c r="W169" s="217"/>
    </row>
    <row r="170" ht="9.75" customHeight="1">
      <c r="W170" s="217"/>
    </row>
    <row r="171" ht="9.75" customHeight="1">
      <c r="W171" s="217"/>
    </row>
    <row r="172" ht="9.75" customHeight="1">
      <c r="W172" s="217"/>
    </row>
    <row r="173" ht="9.75" customHeight="1">
      <c r="W173" s="217"/>
    </row>
    <row r="174" ht="9.75" customHeight="1">
      <c r="W174" s="217"/>
    </row>
    <row r="175" ht="9.75" customHeight="1">
      <c r="W175" s="217"/>
    </row>
    <row r="176" ht="9.75" customHeight="1">
      <c r="W176" s="217"/>
    </row>
    <row r="177" ht="9.75" customHeight="1">
      <c r="W177" s="217"/>
    </row>
    <row r="178" ht="9.75" customHeight="1">
      <c r="W178" s="217"/>
    </row>
    <row r="179" ht="9.75" customHeight="1">
      <c r="W179" s="217"/>
    </row>
    <row r="180" ht="9.75" customHeight="1">
      <c r="W180" s="217"/>
    </row>
    <row r="181" ht="9.75" customHeight="1">
      <c r="W181" s="217"/>
    </row>
    <row r="182" ht="9.75" customHeight="1">
      <c r="W182" s="217"/>
    </row>
    <row r="183" ht="9.75" customHeight="1">
      <c r="W183" s="217"/>
    </row>
    <row r="184" ht="9.75" customHeight="1">
      <c r="W184" s="217"/>
    </row>
    <row r="185" ht="9.75" customHeight="1">
      <c r="W185" s="217"/>
    </row>
    <row r="186" ht="9.75" customHeight="1">
      <c r="W186" s="217"/>
    </row>
    <row r="187" ht="9.75" customHeight="1">
      <c r="W187" s="217"/>
    </row>
    <row r="188" ht="9.75" customHeight="1">
      <c r="W188" s="217"/>
    </row>
    <row r="189" ht="9.75" customHeight="1">
      <c r="W189" s="217"/>
    </row>
    <row r="190" ht="9.75" customHeight="1">
      <c r="W190" s="217"/>
    </row>
    <row r="191" ht="9.75" customHeight="1">
      <c r="W191" s="217"/>
    </row>
    <row r="192" ht="9.75" customHeight="1">
      <c r="W192" s="217"/>
    </row>
    <row r="193" ht="9.75" customHeight="1">
      <c r="W193" s="217"/>
    </row>
    <row r="194" ht="9.75" customHeight="1">
      <c r="W194" s="217"/>
    </row>
    <row r="195" ht="9.75" customHeight="1">
      <c r="W195" s="217"/>
    </row>
    <row r="196" ht="9.75" customHeight="1">
      <c r="W196" s="217"/>
    </row>
    <row r="197" ht="9.75" customHeight="1">
      <c r="W197" s="217"/>
    </row>
    <row r="198" ht="9.75" customHeight="1">
      <c r="W198" s="217"/>
    </row>
    <row r="199" ht="9.75" customHeight="1">
      <c r="W199" s="217"/>
    </row>
  </sheetData>
  <mergeCells count="48">
    <mergeCell ref="F2:I2"/>
    <mergeCell ref="J2:K2"/>
    <mergeCell ref="L2:O2"/>
    <mergeCell ref="R2:T2"/>
    <mergeCell ref="V2:W2"/>
    <mergeCell ref="X2:Z2"/>
    <mergeCell ref="A2:B4"/>
    <mergeCell ref="A113:A115"/>
    <mergeCell ref="A107:A109"/>
    <mergeCell ref="A104:A106"/>
    <mergeCell ref="A5:A7"/>
    <mergeCell ref="A83:A85"/>
    <mergeCell ref="A80:A82"/>
    <mergeCell ref="A65:A67"/>
    <mergeCell ref="A62:A64"/>
    <mergeCell ref="A77:A79"/>
    <mergeCell ref="A122:A124"/>
    <mergeCell ref="A119:A121"/>
    <mergeCell ref="A116:A118"/>
    <mergeCell ref="A110:A112"/>
    <mergeCell ref="A71:A73"/>
    <mergeCell ref="A68:A70"/>
    <mergeCell ref="A74:A76"/>
    <mergeCell ref="A86:A88"/>
    <mergeCell ref="A95:A97"/>
    <mergeCell ref="A101:A103"/>
    <mergeCell ref="A98:A100"/>
    <mergeCell ref="A92:A94"/>
    <mergeCell ref="A125:A127"/>
    <mergeCell ref="A89:A91"/>
    <mergeCell ref="A11:A13"/>
    <mergeCell ref="A17:A19"/>
    <mergeCell ref="A20:A22"/>
    <mergeCell ref="A14:A16"/>
    <mergeCell ref="A29:A31"/>
    <mergeCell ref="A26:A28"/>
    <mergeCell ref="A23:A25"/>
    <mergeCell ref="A50:A52"/>
    <mergeCell ref="A41:A43"/>
    <mergeCell ref="A59:A61"/>
    <mergeCell ref="A8:A10"/>
    <mergeCell ref="A38:A40"/>
    <mergeCell ref="A32:A34"/>
    <mergeCell ref="A35:A37"/>
    <mergeCell ref="A44:A46"/>
    <mergeCell ref="A47:A49"/>
    <mergeCell ref="A53:A55"/>
    <mergeCell ref="A56:A58"/>
  </mergeCells>
  <printOptions/>
  <pageMargins left="0.7874015748031497" right="0.3937007874015748" top="0.7874015748031497" bottom="0.7874015748031497" header="0" footer="0.984251968503937"/>
  <pageSetup horizontalDpi="600" verticalDpi="600" orientation="landscape" paperSize="9" scale="81" r:id="rId1"/>
  <headerFooter alignWithMargins="0">
    <oddFooter>&amp;L※視触診単独方式は３０歳以上                       
※マンモグラフィのみ、視触診及びマンモグラフィは４０歳以上                       
</oddFooter>
  </headerFooter>
  <rowBreaks count="2" manualBreakCount="2">
    <brk id="58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="125" zoomScaleNormal="125" zoomScaleSheetLayoutView="125" workbookViewId="0" topLeftCell="A1">
      <pane xSplit="3" ySplit="4" topLeftCell="D11" activePane="bottomRight" state="frozen"/>
      <selection pane="topLeft" activeCell="E164" sqref="E164"/>
      <selection pane="topRight" activeCell="E164" sqref="E164"/>
      <selection pane="bottomLeft" activeCell="E164" sqref="E164"/>
      <selection pane="bottomRight" activeCell="G40" sqref="G40"/>
    </sheetView>
  </sheetViews>
  <sheetFormatPr defaultColWidth="9.00390625" defaultRowHeight="9.75" customHeight="1"/>
  <cols>
    <col min="1" max="1" width="3.625" style="1" customWidth="1"/>
    <col min="2" max="2" width="6.625" style="79" customWidth="1"/>
    <col min="3" max="3" width="4.625" style="79" customWidth="1"/>
    <col min="4" max="4" width="7.625" style="1" customWidth="1"/>
    <col min="5" max="5" width="6.625" style="1" customWidth="1"/>
    <col min="6" max="6" width="6.125" style="2" customWidth="1"/>
    <col min="7" max="7" width="6.125" style="1" customWidth="1"/>
    <col min="8" max="8" width="4.625" style="2" customWidth="1"/>
    <col min="9" max="9" width="5.625" style="1" customWidth="1"/>
    <col min="10" max="10" width="5.625" style="2" customWidth="1"/>
    <col min="11" max="11" width="6.125" style="1" customWidth="1"/>
    <col min="12" max="12" width="5.625" style="2" customWidth="1"/>
    <col min="13" max="15" width="6.125" style="1" customWidth="1"/>
    <col min="16" max="16" width="7.125" style="1" customWidth="1"/>
    <col min="17" max="17" width="5.625" style="1" customWidth="1"/>
    <col min="18" max="18" width="6.125" style="1" customWidth="1"/>
    <col min="19" max="19" width="5.625" style="3" customWidth="1"/>
    <col min="20" max="20" width="5.625" style="222" customWidth="1"/>
    <col min="21" max="21" width="5.625" style="3" customWidth="1"/>
    <col min="22" max="22" width="5.625" style="2" customWidth="1"/>
    <col min="23" max="23" width="6.125" style="231" customWidth="1"/>
    <col min="24" max="24" width="6.125" style="2" customWidth="1"/>
    <col min="25" max="25" width="7.25390625" style="231" bestFit="1" customWidth="1"/>
    <col min="26" max="26" width="5.875" style="1" customWidth="1"/>
    <col min="27" max="27" width="7.00390625" style="1" bestFit="1" customWidth="1"/>
    <col min="28" max="30" width="11.625" style="1" customWidth="1"/>
    <col min="31" max="16384" width="9.00390625" style="1" customWidth="1"/>
  </cols>
  <sheetData>
    <row r="1" spans="1:29" s="55" customFormat="1" ht="15" customHeight="1" thickBot="1">
      <c r="A1" s="53" t="s">
        <v>104</v>
      </c>
      <c r="B1" s="54"/>
      <c r="C1" s="54"/>
      <c r="F1" s="2"/>
      <c r="H1" s="2"/>
      <c r="I1" s="56"/>
      <c r="J1" s="2"/>
      <c r="K1" s="56"/>
      <c r="L1" s="2"/>
      <c r="N1" s="56"/>
      <c r="P1" s="56"/>
      <c r="S1" s="3"/>
      <c r="T1" s="222"/>
      <c r="U1" s="3"/>
      <c r="V1" s="2"/>
      <c r="W1" s="231"/>
      <c r="X1" s="2"/>
      <c r="Y1" s="231"/>
      <c r="Z1" s="57"/>
      <c r="AA1" s="56"/>
      <c r="AC1" s="56"/>
    </row>
    <row r="2" spans="1:27" s="54" customFormat="1" ht="9.75" customHeight="1">
      <c r="A2" s="334"/>
      <c r="B2" s="335"/>
      <c r="C2" s="336"/>
      <c r="D2" s="7"/>
      <c r="E2" s="7"/>
      <c r="F2" s="8"/>
      <c r="G2" s="343" t="s">
        <v>47</v>
      </c>
      <c r="H2" s="333"/>
      <c r="I2" s="333"/>
      <c r="J2" s="333"/>
      <c r="K2" s="333" t="s">
        <v>48</v>
      </c>
      <c r="L2" s="333"/>
      <c r="M2" s="333" t="s">
        <v>49</v>
      </c>
      <c r="N2" s="333"/>
      <c r="O2" s="333"/>
      <c r="P2" s="333"/>
      <c r="Q2" s="93"/>
      <c r="R2" s="10"/>
      <c r="S2" s="325" t="s">
        <v>96</v>
      </c>
      <c r="T2" s="326"/>
      <c r="U2" s="327"/>
      <c r="V2" s="11"/>
      <c r="W2" s="307" t="s">
        <v>0</v>
      </c>
      <c r="X2" s="308"/>
      <c r="Y2" s="309" t="s">
        <v>110</v>
      </c>
      <c r="Z2" s="310"/>
      <c r="AA2" s="311"/>
    </row>
    <row r="3" spans="1:27" s="54" customFormat="1" ht="30" customHeight="1">
      <c r="A3" s="337"/>
      <c r="B3" s="338"/>
      <c r="C3" s="339"/>
      <c r="D3" s="12" t="s">
        <v>113</v>
      </c>
      <c r="E3" s="12" t="s">
        <v>50</v>
      </c>
      <c r="F3" s="13" t="s">
        <v>51</v>
      </c>
      <c r="G3" s="94" t="s">
        <v>52</v>
      </c>
      <c r="H3" s="15" t="s">
        <v>53</v>
      </c>
      <c r="I3" s="12" t="s">
        <v>54</v>
      </c>
      <c r="J3" s="15" t="s">
        <v>55</v>
      </c>
      <c r="K3" s="12" t="s">
        <v>52</v>
      </c>
      <c r="L3" s="15" t="s">
        <v>53</v>
      </c>
      <c r="M3" s="12" t="s">
        <v>56</v>
      </c>
      <c r="N3" s="12" t="s">
        <v>57</v>
      </c>
      <c r="O3" s="12" t="s">
        <v>58</v>
      </c>
      <c r="P3" s="12" t="s">
        <v>59</v>
      </c>
      <c r="Q3" s="12" t="s">
        <v>60</v>
      </c>
      <c r="R3" s="17" t="s">
        <v>61</v>
      </c>
      <c r="S3" s="18" t="s">
        <v>62</v>
      </c>
      <c r="T3" s="223" t="s">
        <v>91</v>
      </c>
      <c r="U3" s="18" t="s">
        <v>100</v>
      </c>
      <c r="V3" s="13" t="s">
        <v>63</v>
      </c>
      <c r="W3" s="232" t="s">
        <v>64</v>
      </c>
      <c r="X3" s="103" t="s">
        <v>65</v>
      </c>
      <c r="Y3" s="253" t="s">
        <v>97</v>
      </c>
      <c r="Z3" s="250" t="s">
        <v>106</v>
      </c>
      <c r="AA3" s="251" t="s">
        <v>53</v>
      </c>
    </row>
    <row r="4" spans="1:27" s="54" customFormat="1" ht="9.75" customHeight="1" thickBot="1">
      <c r="A4" s="340"/>
      <c r="B4" s="341"/>
      <c r="C4" s="342"/>
      <c r="D4" s="50" t="s">
        <v>66</v>
      </c>
      <c r="E4" s="51" t="s">
        <v>67</v>
      </c>
      <c r="F4" s="63" t="s">
        <v>68</v>
      </c>
      <c r="G4" s="95" t="s">
        <v>69</v>
      </c>
      <c r="H4" s="15" t="s">
        <v>70</v>
      </c>
      <c r="I4" s="12" t="s">
        <v>71</v>
      </c>
      <c r="J4" s="15" t="s">
        <v>72</v>
      </c>
      <c r="K4" s="12" t="s">
        <v>73</v>
      </c>
      <c r="L4" s="15" t="s">
        <v>74</v>
      </c>
      <c r="M4" s="50"/>
      <c r="N4" s="50" t="s">
        <v>75</v>
      </c>
      <c r="O4" s="50"/>
      <c r="P4" s="50"/>
      <c r="Q4" s="50"/>
      <c r="R4" s="52"/>
      <c r="S4" s="70" t="s">
        <v>76</v>
      </c>
      <c r="T4" s="224" t="s">
        <v>92</v>
      </c>
      <c r="U4" s="15" t="s">
        <v>93</v>
      </c>
      <c r="V4" s="65" t="s">
        <v>102</v>
      </c>
      <c r="W4" s="233" t="s">
        <v>94</v>
      </c>
      <c r="X4" s="64" t="s">
        <v>95</v>
      </c>
      <c r="Y4" s="254" t="s">
        <v>109</v>
      </c>
      <c r="Z4" s="51" t="s">
        <v>107</v>
      </c>
      <c r="AA4" s="252" t="s">
        <v>108</v>
      </c>
    </row>
    <row r="5" spans="1:27" ht="9.75" customHeight="1">
      <c r="A5" s="330" t="s">
        <v>79</v>
      </c>
      <c r="B5" s="80" t="s">
        <v>1</v>
      </c>
      <c r="C5" s="81"/>
      <c r="D5" s="296">
        <f>26773+17739+3705+3009+2893+4540+764+804+1287+4595+1368</f>
        <v>67477</v>
      </c>
      <c r="E5" s="296">
        <f>12058+7594+1332+952+1018+1711+287+541+404+1682+253</f>
        <v>27832</v>
      </c>
      <c r="F5" s="88">
        <f>E5/D5*100</f>
        <v>41.246647005646366</v>
      </c>
      <c r="G5" s="71">
        <f>1138+1046+234+178+127+143+35+34+54+167+85</f>
        <v>3241</v>
      </c>
      <c r="H5" s="66">
        <f>G5/E5*100</f>
        <v>11.64486921529175</v>
      </c>
      <c r="I5" s="58">
        <f>SUM(M5:R5)</f>
        <v>176</v>
      </c>
      <c r="J5" s="66">
        <f>I5/G5*100</f>
        <v>5.430422709040419</v>
      </c>
      <c r="K5" s="58">
        <f>SUM(M5:P5)</f>
        <v>132</v>
      </c>
      <c r="L5" s="66">
        <f>K5/I5*100</f>
        <v>75</v>
      </c>
      <c r="M5" s="58">
        <f>12+19+7+3+2+1+1+6</f>
        <v>51</v>
      </c>
      <c r="N5" s="58">
        <f>1+1</f>
        <v>2</v>
      </c>
      <c r="O5" s="58">
        <v>0</v>
      </c>
      <c r="P5" s="58">
        <f>36+23+7+2+2+4+2+3</f>
        <v>79</v>
      </c>
      <c r="Q5" s="58">
        <f>21+6+1+1</f>
        <v>29</v>
      </c>
      <c r="R5" s="96">
        <f>3+6+1+1+1+3</f>
        <v>15</v>
      </c>
      <c r="S5" s="90">
        <f>N5/G5*100</f>
        <v>0.061709348966368406</v>
      </c>
      <c r="T5" s="225">
        <v>1</v>
      </c>
      <c r="U5" s="90">
        <f>T5/G5*100</f>
        <v>0.030854674483184203</v>
      </c>
      <c r="V5" s="66">
        <f>N5/K5*100</f>
        <v>1.5151515151515151</v>
      </c>
      <c r="W5" s="234">
        <f>728+807+136+89+55+67+36+20+38+127+29</f>
        <v>2132</v>
      </c>
      <c r="X5" s="88">
        <f>W5/G5*100</f>
        <v>65.78216599814873</v>
      </c>
      <c r="Y5" s="255">
        <f>317+197+66+66+50+47+14+15+49+22</f>
        <v>843</v>
      </c>
      <c r="Z5" s="263"/>
      <c r="AA5" s="264"/>
    </row>
    <row r="6" spans="1:27" ht="9.75" customHeight="1">
      <c r="A6" s="331"/>
      <c r="B6" s="82" t="s">
        <v>2</v>
      </c>
      <c r="C6" s="83"/>
      <c r="D6" s="59">
        <f>26570+17800+3366+3061+2421+4880+775+759+1204+4120+1248</f>
        <v>66204</v>
      </c>
      <c r="E6" s="59">
        <f>12063+5791+1203+917+799+1622+286+405+300+1323+236</f>
        <v>24945</v>
      </c>
      <c r="F6" s="89">
        <f>E6/D6*100</f>
        <v>37.678992205909005</v>
      </c>
      <c r="G6" s="72">
        <f>1685+1234+353+191+151+209+46+31+55+232+82</f>
        <v>4269</v>
      </c>
      <c r="H6" s="67">
        <f>G6/E6*100</f>
        <v>17.113650030066147</v>
      </c>
      <c r="I6" s="60">
        <f aca="true" t="shared" si="0" ref="I6:I42">SUM(M6:R6)</f>
        <v>268</v>
      </c>
      <c r="J6" s="67">
        <f aca="true" t="shared" si="1" ref="J6:J42">I6/G6*100</f>
        <v>6.27781681892715</v>
      </c>
      <c r="K6" s="60">
        <f aca="true" t="shared" si="2" ref="K6:K42">SUM(M6:P6)</f>
        <v>225</v>
      </c>
      <c r="L6" s="67">
        <f aca="true" t="shared" si="3" ref="L6:L42">K6/I6*100</f>
        <v>83.95522388059702</v>
      </c>
      <c r="M6" s="60">
        <f>14+30+6+1+1+1+5+1</f>
        <v>59</v>
      </c>
      <c r="N6" s="60">
        <f>1+2+1</f>
        <v>4</v>
      </c>
      <c r="O6" s="60">
        <v>0</v>
      </c>
      <c r="P6" s="60">
        <f>67+55+16+5+4+9+1+1+3+1</f>
        <v>162</v>
      </c>
      <c r="Q6" s="60">
        <f>19+4+2+1</f>
        <v>26</v>
      </c>
      <c r="R6" s="97">
        <f>2+5+1+2+1+4+2</f>
        <v>17</v>
      </c>
      <c r="S6" s="91">
        <f aca="true" t="shared" si="4" ref="S6:S42">N6/G6*100</f>
        <v>0.09369875849144998</v>
      </c>
      <c r="T6" s="226">
        <v>2</v>
      </c>
      <c r="U6" s="91">
        <f aca="true" t="shared" si="5" ref="U6:U42">T6/G6*100</f>
        <v>0.04684937924572499</v>
      </c>
      <c r="V6" s="67">
        <f aca="true" t="shared" si="6" ref="V6:V42">N6/K6*100</f>
        <v>1.7777777777777777</v>
      </c>
      <c r="W6" s="235">
        <f>694+656+119+72+48+63+39+6+28+119+23</f>
        <v>1867</v>
      </c>
      <c r="X6" s="89">
        <f aca="true" t="shared" si="7" ref="X6:X18">W6/G6*100</f>
        <v>43.73389552588428</v>
      </c>
      <c r="Y6" s="256">
        <f>772+427+170+94+71+120+19+21+102+31</f>
        <v>1827</v>
      </c>
      <c r="Z6" s="168"/>
      <c r="AA6" s="265"/>
    </row>
    <row r="7" spans="1:27" ht="9.75" customHeight="1">
      <c r="A7" s="331"/>
      <c r="B7" s="82" t="s">
        <v>3</v>
      </c>
      <c r="C7" s="83"/>
      <c r="D7" s="59">
        <f>21760+13956+3229+2755+2257+4446+740+756+1201+3911+1234</f>
        <v>56245</v>
      </c>
      <c r="E7" s="59">
        <f>4070+4096+850+801+715+1373+243+326+240+1033+237</f>
        <v>13984</v>
      </c>
      <c r="F7" s="89">
        <f aca="true" t="shared" si="8" ref="F7:F15">E7/D7*100</f>
        <v>24.86265445817406</v>
      </c>
      <c r="G7" s="72">
        <f>1171+283+183+127+71+65+17+15+12+78+37</f>
        <v>2059</v>
      </c>
      <c r="H7" s="67">
        <f aca="true" t="shared" si="9" ref="H7:H15">G7/E7*100</f>
        <v>14.723970251716247</v>
      </c>
      <c r="I7" s="60">
        <f t="shared" si="0"/>
        <v>200</v>
      </c>
      <c r="J7" s="67">
        <f t="shared" si="1"/>
        <v>9.713453132588636</v>
      </c>
      <c r="K7" s="60">
        <f t="shared" si="2"/>
        <v>170</v>
      </c>
      <c r="L7" s="67">
        <f t="shared" si="3"/>
        <v>85</v>
      </c>
      <c r="M7" s="60">
        <f>7+14+9+3+1+1+1+2</f>
        <v>38</v>
      </c>
      <c r="N7" s="60">
        <f>3+1+1+1</f>
        <v>6</v>
      </c>
      <c r="O7" s="60">
        <v>0</v>
      </c>
      <c r="P7" s="60">
        <f>73+23+22+4+2+2</f>
        <v>126</v>
      </c>
      <c r="Q7" s="60">
        <f>12+4+1</f>
        <v>17</v>
      </c>
      <c r="R7" s="97">
        <f>3+3+4+2+1</f>
        <v>13</v>
      </c>
      <c r="S7" s="91">
        <f t="shared" si="4"/>
        <v>0.291403593977659</v>
      </c>
      <c r="T7" s="226">
        <f>2+1</f>
        <v>3</v>
      </c>
      <c r="U7" s="91">
        <f t="shared" si="5"/>
        <v>0.1457017969888295</v>
      </c>
      <c r="V7" s="67">
        <f t="shared" si="6"/>
        <v>3.5294117647058822</v>
      </c>
      <c r="W7" s="235">
        <f>372+119+26+61+13+15+14+4+4+33+6</f>
        <v>667</v>
      </c>
      <c r="X7" s="89">
        <f t="shared" si="7"/>
        <v>32.3943661971831</v>
      </c>
      <c r="Y7" s="256">
        <f>653+134+147+79+9+41+9+13+44+21</f>
        <v>1150</v>
      </c>
      <c r="Z7" s="168"/>
      <c r="AA7" s="265"/>
    </row>
    <row r="8" spans="1:27" ht="9.75" customHeight="1">
      <c r="A8" s="331"/>
      <c r="B8" s="82" t="s">
        <v>4</v>
      </c>
      <c r="C8" s="83"/>
      <c r="D8" s="59">
        <f>20622+13051+3456+2854+2416+4548+883+985+1447+4434+1355</f>
        <v>56051</v>
      </c>
      <c r="E8" s="59">
        <f>3579+3785+869+777+705+1397+270+360+239+1005+212</f>
        <v>13198</v>
      </c>
      <c r="F8" s="89">
        <f t="shared" si="8"/>
        <v>23.5464130880805</v>
      </c>
      <c r="G8" s="72">
        <f>1317+244+184+95+83+77+15+18+7+104+32</f>
        <v>2176</v>
      </c>
      <c r="H8" s="67">
        <f t="shared" si="9"/>
        <v>16.487346567661767</v>
      </c>
      <c r="I8" s="60">
        <f t="shared" si="0"/>
        <v>230</v>
      </c>
      <c r="J8" s="67">
        <f t="shared" si="1"/>
        <v>10.569852941176471</v>
      </c>
      <c r="K8" s="60">
        <f t="shared" si="2"/>
        <v>200</v>
      </c>
      <c r="L8" s="67">
        <f t="shared" si="3"/>
        <v>86.95652173913044</v>
      </c>
      <c r="M8" s="60">
        <f>13+13+7+2+1+1+3+1</f>
        <v>41</v>
      </c>
      <c r="N8" s="60">
        <f>3+2+2+1+1</f>
        <v>9</v>
      </c>
      <c r="O8" s="60">
        <v>0</v>
      </c>
      <c r="P8" s="60">
        <f>94+23+16+2+1+6+2+1+5</f>
        <v>150</v>
      </c>
      <c r="Q8" s="60">
        <f>16+1</f>
        <v>17</v>
      </c>
      <c r="R8" s="97">
        <f>2+6+3+2</f>
        <v>13</v>
      </c>
      <c r="S8" s="91">
        <f t="shared" si="4"/>
        <v>0.4136029411764706</v>
      </c>
      <c r="T8" s="226">
        <v>2</v>
      </c>
      <c r="U8" s="91">
        <f t="shared" si="5"/>
        <v>0.09191176470588235</v>
      </c>
      <c r="V8" s="67">
        <f t="shared" si="6"/>
        <v>4.5</v>
      </c>
      <c r="W8" s="235">
        <f>380+121+31+36+7+13+11+6+3+50+2</f>
        <v>660</v>
      </c>
      <c r="X8" s="89">
        <f t="shared" si="7"/>
        <v>30.330882352941174</v>
      </c>
      <c r="Y8" s="256">
        <f>772+108+131+65+5+59+9+18+57+15</f>
        <v>1239</v>
      </c>
      <c r="Z8" s="168"/>
      <c r="AA8" s="265"/>
    </row>
    <row r="9" spans="1:27" ht="9.75" customHeight="1">
      <c r="A9" s="331"/>
      <c r="B9" s="82" t="s">
        <v>5</v>
      </c>
      <c r="C9" s="83"/>
      <c r="D9" s="59">
        <f>20239+13706+4018+3266+2638+5240+1095+1126+1703+4841+1626</f>
        <v>59498</v>
      </c>
      <c r="E9" s="59">
        <f>4080+5328+1256+890+900+1824+356+407+463+1304+295</f>
        <v>17103</v>
      </c>
      <c r="F9" s="89">
        <f t="shared" si="8"/>
        <v>28.74550405055632</v>
      </c>
      <c r="G9" s="72">
        <f>1006+252+186+107+55+71+20+20+29+111+42</f>
        <v>1899</v>
      </c>
      <c r="H9" s="67">
        <f t="shared" si="9"/>
        <v>11.103315207858271</v>
      </c>
      <c r="I9" s="60">
        <f t="shared" si="0"/>
        <v>161</v>
      </c>
      <c r="J9" s="67">
        <f t="shared" si="1"/>
        <v>8.478146392838335</v>
      </c>
      <c r="K9" s="60">
        <f t="shared" si="2"/>
        <v>144</v>
      </c>
      <c r="L9" s="67">
        <f t="shared" si="3"/>
        <v>89.44099378881988</v>
      </c>
      <c r="M9" s="60">
        <f>6+10+1+4+1+1+2+2</f>
        <v>27</v>
      </c>
      <c r="N9" s="60">
        <f>3+2+1+1</f>
        <v>7</v>
      </c>
      <c r="O9" s="60">
        <v>0</v>
      </c>
      <c r="P9" s="60">
        <f>77+12+9+3+5+1+1+1+1</f>
        <v>110</v>
      </c>
      <c r="Q9" s="60">
        <f>4+4+2+1</f>
        <v>11</v>
      </c>
      <c r="R9" s="97">
        <f>2+1+3</f>
        <v>6</v>
      </c>
      <c r="S9" s="91">
        <f t="shared" si="4"/>
        <v>0.3686150605581885</v>
      </c>
      <c r="T9" s="226">
        <f>1+1+1</f>
        <v>3</v>
      </c>
      <c r="U9" s="91">
        <f t="shared" si="5"/>
        <v>0.1579778830963665</v>
      </c>
      <c r="V9" s="67">
        <f t="shared" si="6"/>
        <v>4.861111111111112</v>
      </c>
      <c r="W9" s="235">
        <f>252+127+32+28+8+11+12+6+7+42+4</f>
        <v>529</v>
      </c>
      <c r="X9" s="89">
        <f t="shared" si="7"/>
        <v>27.85676671932596</v>
      </c>
      <c r="Y9" s="256">
        <f>619+108+133+75+5+54+10+21+58+18</f>
        <v>1101</v>
      </c>
      <c r="Z9" s="168"/>
      <c r="AA9" s="265"/>
    </row>
    <row r="10" spans="1:27" ht="9.75" customHeight="1">
      <c r="A10" s="331"/>
      <c r="B10" s="82" t="s">
        <v>6</v>
      </c>
      <c r="C10" s="83"/>
      <c r="D10" s="59">
        <f>25803+18556+5427+4621+3337+6543+1282+1327+2103+5731+2068</f>
        <v>76798</v>
      </c>
      <c r="E10" s="59">
        <f>6116+8895+2323+1562+1499+2880+526+604+729+1989+420</f>
        <v>27543</v>
      </c>
      <c r="F10" s="89">
        <f t="shared" si="8"/>
        <v>35.86421521393786</v>
      </c>
      <c r="G10" s="72">
        <f>1410+305+347+157+127+120+25+45+31+169+78</f>
        <v>2814</v>
      </c>
      <c r="H10" s="67">
        <f t="shared" si="9"/>
        <v>10.216751987800892</v>
      </c>
      <c r="I10" s="60">
        <f t="shared" si="0"/>
        <v>156</v>
      </c>
      <c r="J10" s="67">
        <f t="shared" si="1"/>
        <v>5.543710021321962</v>
      </c>
      <c r="K10" s="60">
        <f t="shared" si="2"/>
        <v>134</v>
      </c>
      <c r="L10" s="67">
        <f t="shared" si="3"/>
        <v>85.8974358974359</v>
      </c>
      <c r="M10" s="60">
        <f>18+15+3+6+4+1+1+1</f>
        <v>49</v>
      </c>
      <c r="N10" s="60">
        <f>1+1+1</f>
        <v>3</v>
      </c>
      <c r="O10" s="60">
        <v>0</v>
      </c>
      <c r="P10" s="60">
        <f>43+13+19+2+3+1+1</f>
        <v>82</v>
      </c>
      <c r="Q10" s="60">
        <v>11</v>
      </c>
      <c r="R10" s="97">
        <f>1+4+2+1+1+1+1</f>
        <v>11</v>
      </c>
      <c r="S10" s="91">
        <f t="shared" si="4"/>
        <v>0.10660980810234541</v>
      </c>
      <c r="T10" s="226">
        <v>1</v>
      </c>
      <c r="U10" s="91">
        <f t="shared" si="5"/>
        <v>0.03553660270078181</v>
      </c>
      <c r="V10" s="67">
        <f t="shared" si="6"/>
        <v>2.2388059701492535</v>
      </c>
      <c r="W10" s="235">
        <f>315+131+52+44+12+23+16+12+14+61+9</f>
        <v>689</v>
      </c>
      <c r="X10" s="89">
        <f t="shared" si="7"/>
        <v>24.484719260838663</v>
      </c>
      <c r="Y10" s="256">
        <f>959+156+265+114+8+95+13+21+105+49</f>
        <v>1785</v>
      </c>
      <c r="Z10" s="168"/>
      <c r="AA10" s="265"/>
    </row>
    <row r="11" spans="1:27" ht="9.75" customHeight="1">
      <c r="A11" s="331"/>
      <c r="B11" s="82" t="s">
        <v>7</v>
      </c>
      <c r="C11" s="83"/>
      <c r="D11" s="59">
        <f>23367+17482+4840+4112+2771+6492+1214+1279+1849+4797+1736</f>
        <v>69939</v>
      </c>
      <c r="E11" s="59">
        <f>7687+11119+3267+2058+1817+3473+584+699+1182+2641+518</f>
        <v>35045</v>
      </c>
      <c r="F11" s="89">
        <f t="shared" si="8"/>
        <v>50.107951214629885</v>
      </c>
      <c r="G11" s="72">
        <f>1781+475+551+281+201+234+65+45+63+264+109</f>
        <v>4069</v>
      </c>
      <c r="H11" s="67">
        <f t="shared" si="9"/>
        <v>11.610786132115852</v>
      </c>
      <c r="I11" s="60">
        <f t="shared" si="0"/>
        <v>208</v>
      </c>
      <c r="J11" s="67">
        <f t="shared" si="1"/>
        <v>5.111821086261981</v>
      </c>
      <c r="K11" s="60">
        <f t="shared" si="2"/>
        <v>180</v>
      </c>
      <c r="L11" s="67">
        <f t="shared" si="3"/>
        <v>86.53846153846155</v>
      </c>
      <c r="M11" s="60">
        <f>15+21+10+6+5+7+3+4</f>
        <v>71</v>
      </c>
      <c r="N11" s="60">
        <f>4+3+1+3</f>
        <v>11</v>
      </c>
      <c r="O11" s="60">
        <v>0</v>
      </c>
      <c r="P11" s="60">
        <f>59+14+9+4+3+6+1+1+1</f>
        <v>98</v>
      </c>
      <c r="Q11" s="60">
        <f>17+2</f>
        <v>19</v>
      </c>
      <c r="R11" s="97">
        <f>2+3+1+1+2</f>
        <v>9</v>
      </c>
      <c r="S11" s="91">
        <f t="shared" si="4"/>
        <v>0.27033669206193167</v>
      </c>
      <c r="T11" s="226">
        <f>1+2</f>
        <v>3</v>
      </c>
      <c r="U11" s="91">
        <f t="shared" si="5"/>
        <v>0.07372818874416319</v>
      </c>
      <c r="V11" s="67">
        <f t="shared" si="6"/>
        <v>6.111111111111111</v>
      </c>
      <c r="W11" s="235">
        <f>445+176+82+57+14+33+20+14+15+74+9</f>
        <v>939</v>
      </c>
      <c r="X11" s="89">
        <f t="shared" si="7"/>
        <v>23.076923076923077</v>
      </c>
      <c r="Y11" s="256">
        <f>1143+271+407+209+28+172+48+46+178+80</f>
        <v>2582</v>
      </c>
      <c r="Z11" s="168"/>
      <c r="AA11" s="265"/>
    </row>
    <row r="12" spans="1:27" ht="9.75" customHeight="1">
      <c r="A12" s="331"/>
      <c r="B12" s="82" t="s">
        <v>8</v>
      </c>
      <c r="C12" s="83"/>
      <c r="D12" s="59">
        <f>20168+14864+4221+3629+2266+5911+1281+1240+1793+4698+1650</f>
        <v>61721</v>
      </c>
      <c r="E12" s="59">
        <f>2024+10786+3549+2209+1789+3731+780+815+1595+3395+628</f>
        <v>31301</v>
      </c>
      <c r="F12" s="89">
        <f t="shared" si="8"/>
        <v>50.71369550072099</v>
      </c>
      <c r="G12" s="72">
        <f>2656+524+738+311+236+351+97+70+77+271+169</f>
        <v>5500</v>
      </c>
      <c r="H12" s="67">
        <f t="shared" si="9"/>
        <v>17.571323599884987</v>
      </c>
      <c r="I12" s="60">
        <f t="shared" si="0"/>
        <v>199</v>
      </c>
      <c r="J12" s="67">
        <f t="shared" si="1"/>
        <v>3.618181818181818</v>
      </c>
      <c r="K12" s="60">
        <f t="shared" si="2"/>
        <v>156</v>
      </c>
      <c r="L12" s="67">
        <f t="shared" si="3"/>
        <v>78.39195979899498</v>
      </c>
      <c r="M12" s="60">
        <f>17+13+10+6+1+9+1+1+1</f>
        <v>59</v>
      </c>
      <c r="N12" s="60">
        <f>5+2+1+1+1</f>
        <v>10</v>
      </c>
      <c r="O12" s="60">
        <v>0</v>
      </c>
      <c r="P12" s="60">
        <f>50+7+14+7+2+6+1</f>
        <v>87</v>
      </c>
      <c r="Q12" s="60">
        <f>22+5+1</f>
        <v>28</v>
      </c>
      <c r="R12" s="97">
        <f>3+1+1+1+1+2+1+1+4</f>
        <v>15</v>
      </c>
      <c r="S12" s="91">
        <f t="shared" si="4"/>
        <v>0.18181818181818182</v>
      </c>
      <c r="T12" s="226">
        <f>4+1+1+1</f>
        <v>7</v>
      </c>
      <c r="U12" s="91">
        <f t="shared" si="5"/>
        <v>0.1272727272727273</v>
      </c>
      <c r="V12" s="67">
        <f t="shared" si="6"/>
        <v>6.41025641025641</v>
      </c>
      <c r="W12" s="235">
        <f>579+178+92+47+8+36+38+12+13+55+4</f>
        <v>1062</v>
      </c>
      <c r="X12" s="89">
        <f t="shared" si="7"/>
        <v>19.30909090909091</v>
      </c>
      <c r="Y12" s="256">
        <f>1760+327+508+223+20+271+59+65+192+124</f>
        <v>3549</v>
      </c>
      <c r="Z12" s="168"/>
      <c r="AA12" s="265"/>
    </row>
    <row r="13" spans="1:27" ht="9.75" customHeight="1">
      <c r="A13" s="331"/>
      <c r="B13" s="82" t="s">
        <v>9</v>
      </c>
      <c r="C13" s="83"/>
      <c r="D13" s="59">
        <f>18788+12945+4259+3452+2224+5755+1506+1513+2079+5145+1943</f>
        <v>59609</v>
      </c>
      <c r="E13" s="59">
        <f>215+19040+3859+2243+1949+4155+1209+1007+2005+4129+746</f>
        <v>40557</v>
      </c>
      <c r="F13" s="89">
        <f t="shared" si="8"/>
        <v>68.03838346558405</v>
      </c>
      <c r="G13" s="72">
        <f>2900+580+657+296+176+288+126+92+85+454+209</f>
        <v>5863</v>
      </c>
      <c r="H13" s="67">
        <f t="shared" si="9"/>
        <v>14.456197450501762</v>
      </c>
      <c r="I13" s="60">
        <f t="shared" si="0"/>
        <v>195</v>
      </c>
      <c r="J13" s="67">
        <f t="shared" si="1"/>
        <v>3.325942350332594</v>
      </c>
      <c r="K13" s="60">
        <f t="shared" si="2"/>
        <v>151</v>
      </c>
      <c r="L13" s="67">
        <f t="shared" si="3"/>
        <v>77.43589743589745</v>
      </c>
      <c r="M13" s="60">
        <f>25+16+13+4+3+7+1+2+3+4</f>
        <v>78</v>
      </c>
      <c r="N13" s="60">
        <v>3</v>
      </c>
      <c r="O13" s="60">
        <v>0</v>
      </c>
      <c r="P13" s="60">
        <f>40+8+7+4+5+2+1+2+1</f>
        <v>70</v>
      </c>
      <c r="Q13" s="60">
        <f>25+3+1+2</f>
        <v>31</v>
      </c>
      <c r="R13" s="97">
        <f>3+1+1+2+2+2+2</f>
        <v>13</v>
      </c>
      <c r="S13" s="91">
        <f t="shared" si="4"/>
        <v>0.051168343851270684</v>
      </c>
      <c r="T13" s="226">
        <v>1</v>
      </c>
      <c r="U13" s="91">
        <f t="shared" si="5"/>
        <v>0.017056114617090227</v>
      </c>
      <c r="V13" s="67">
        <f t="shared" si="6"/>
        <v>1.9867549668874174</v>
      </c>
      <c r="W13" s="235">
        <f>565+153+57+46+5+21+50+14+17+85+13</f>
        <v>1026</v>
      </c>
      <c r="X13" s="89">
        <f t="shared" si="7"/>
        <v>17.499573597134574</v>
      </c>
      <c r="Y13" s="256">
        <f>2065+403+510+234+15+211+84+72+359+157</f>
        <v>4110</v>
      </c>
      <c r="Z13" s="168"/>
      <c r="AA13" s="265"/>
    </row>
    <row r="14" spans="1:27" ht="9.75" customHeight="1">
      <c r="A14" s="331"/>
      <c r="B14" s="82" t="s">
        <v>10</v>
      </c>
      <c r="C14" s="83"/>
      <c r="D14" s="59">
        <f>17280+11053+4004+3159+1920+5879+1631+1637+2226+5105+2193</f>
        <v>56087</v>
      </c>
      <c r="E14" s="59">
        <f>186+8885+3730+2111+1658+4017+1254+1015+2165+4125+652</f>
        <v>29798</v>
      </c>
      <c r="F14" s="89">
        <f t="shared" si="8"/>
        <v>53.128175869631114</v>
      </c>
      <c r="G14" s="72">
        <f>2297+454+418+238+139+202+96+95+58+367+171</f>
        <v>4535</v>
      </c>
      <c r="H14" s="67">
        <f t="shared" si="9"/>
        <v>15.219142224310357</v>
      </c>
      <c r="I14" s="60">
        <f t="shared" si="0"/>
        <v>115</v>
      </c>
      <c r="J14" s="67">
        <f t="shared" si="1"/>
        <v>2.535832414553473</v>
      </c>
      <c r="K14" s="60">
        <f t="shared" si="2"/>
        <v>85</v>
      </c>
      <c r="L14" s="67">
        <f t="shared" si="3"/>
        <v>73.91304347826086</v>
      </c>
      <c r="M14" s="60">
        <f>12+8+4+7+3+1+4</f>
        <v>39</v>
      </c>
      <c r="N14" s="60">
        <f>4+2+1</f>
        <v>7</v>
      </c>
      <c r="O14" s="60">
        <v>0</v>
      </c>
      <c r="P14" s="60">
        <f>23+3+5+2+4+1+1</f>
        <v>39</v>
      </c>
      <c r="Q14" s="60">
        <f>15+1+1+2</f>
        <v>19</v>
      </c>
      <c r="R14" s="97">
        <f>5+3+1+1+1</f>
        <v>11</v>
      </c>
      <c r="S14" s="91">
        <f t="shared" si="4"/>
        <v>0.1543550165380375</v>
      </c>
      <c r="T14" s="226">
        <v>1</v>
      </c>
      <c r="U14" s="91">
        <f t="shared" si="5"/>
        <v>0.02205071664829107</v>
      </c>
      <c r="V14" s="67">
        <f t="shared" si="6"/>
        <v>8.235294117647058</v>
      </c>
      <c r="W14" s="235">
        <f>286+74+50+26+3+20+30+16+13+61+15</f>
        <v>594</v>
      </c>
      <c r="X14" s="89">
        <f t="shared" si="7"/>
        <v>13.098125689084894</v>
      </c>
      <c r="Y14" s="256">
        <f>1789+349+331+171+23+140+67+48+286+130</f>
        <v>3334</v>
      </c>
      <c r="Z14" s="168"/>
      <c r="AA14" s="265"/>
    </row>
    <row r="15" spans="1:27" ht="9.75" customHeight="1">
      <c r="A15" s="331"/>
      <c r="B15" s="84" t="s">
        <v>11</v>
      </c>
      <c r="C15" s="85"/>
      <c r="D15" s="180">
        <f>25971+16587+6540+5184+3108+10302+3206+3005+4085+7925+4199</f>
        <v>90112</v>
      </c>
      <c r="E15" s="180">
        <f>158+12702+5577+3427+2691+6598+2008+1350+3003+6081+445</f>
        <v>44040</v>
      </c>
      <c r="F15" s="89">
        <f t="shared" si="8"/>
        <v>48.87251420454545</v>
      </c>
      <c r="G15" s="176">
        <f>1778+328+232+121+35+69+52+49+18+246+106</f>
        <v>3034</v>
      </c>
      <c r="H15" s="67">
        <f t="shared" si="9"/>
        <v>6.889191643960037</v>
      </c>
      <c r="I15" s="141">
        <f t="shared" si="0"/>
        <v>79</v>
      </c>
      <c r="J15" s="142">
        <f t="shared" si="1"/>
        <v>2.6038233355306524</v>
      </c>
      <c r="K15" s="141">
        <f t="shared" si="2"/>
        <v>48</v>
      </c>
      <c r="L15" s="142">
        <f t="shared" si="3"/>
        <v>60.75949367088608</v>
      </c>
      <c r="M15" s="141">
        <f>6+5+1+1+1+2+2</f>
        <v>18</v>
      </c>
      <c r="N15" s="141">
        <f>4+1+1+1</f>
        <v>7</v>
      </c>
      <c r="O15" s="141">
        <v>0</v>
      </c>
      <c r="P15" s="141">
        <f>9+4+6+1+1+2</f>
        <v>23</v>
      </c>
      <c r="Q15" s="141">
        <f>16+1</f>
        <v>17</v>
      </c>
      <c r="R15" s="178">
        <f>10+2+1+1</f>
        <v>14</v>
      </c>
      <c r="S15" s="179">
        <f t="shared" si="4"/>
        <v>0.23071852340145024</v>
      </c>
      <c r="T15" s="227">
        <f>2+1+1+1</f>
        <v>5</v>
      </c>
      <c r="U15" s="179">
        <f t="shared" si="5"/>
        <v>0.16479894528675015</v>
      </c>
      <c r="V15" s="142">
        <f t="shared" si="6"/>
        <v>14.583333333333334</v>
      </c>
      <c r="W15" s="236">
        <f>237+51+23+18+8+15+7+5+60+15</f>
        <v>439</v>
      </c>
      <c r="X15" s="183">
        <f t="shared" si="7"/>
        <v>14.469347396176666</v>
      </c>
      <c r="Y15" s="257">
        <f>1360+252+189+77+5+40+44+17+174+83</f>
        <v>2241</v>
      </c>
      <c r="Z15" s="174"/>
      <c r="AA15" s="266"/>
    </row>
    <row r="16" spans="1:27" ht="9.75" customHeight="1">
      <c r="A16" s="331"/>
      <c r="B16" s="86" t="s">
        <v>12</v>
      </c>
      <c r="C16" s="87"/>
      <c r="D16" s="35">
        <f>SUM(D5:D15)</f>
        <v>719741</v>
      </c>
      <c r="E16" s="35">
        <f>SUM(E5:E15)</f>
        <v>305346</v>
      </c>
      <c r="F16" s="191">
        <f>E16/D16*100</f>
        <v>42.424427676066806</v>
      </c>
      <c r="G16" s="36">
        <f>SUM(G5:G15)</f>
        <v>39459</v>
      </c>
      <c r="H16" s="38">
        <f>G16/E16*100</f>
        <v>12.922717179854985</v>
      </c>
      <c r="I16" s="37">
        <f t="shared" si="0"/>
        <v>1987</v>
      </c>
      <c r="J16" s="38">
        <f t="shared" si="1"/>
        <v>5.0356065789807145</v>
      </c>
      <c r="K16" s="37">
        <f t="shared" si="2"/>
        <v>1625</v>
      </c>
      <c r="L16" s="38">
        <f t="shared" si="3"/>
        <v>81.78158027176649</v>
      </c>
      <c r="M16" s="35">
        <f aca="true" t="shared" si="10" ref="M16:R16">SUM(M5:M15)</f>
        <v>530</v>
      </c>
      <c r="N16" s="35">
        <f t="shared" si="10"/>
        <v>69</v>
      </c>
      <c r="O16" s="35">
        <f t="shared" si="10"/>
        <v>0</v>
      </c>
      <c r="P16" s="35">
        <f t="shared" si="10"/>
        <v>1026</v>
      </c>
      <c r="Q16" s="35">
        <f t="shared" si="10"/>
        <v>225</v>
      </c>
      <c r="R16" s="39">
        <f t="shared" si="10"/>
        <v>137</v>
      </c>
      <c r="S16" s="192">
        <f t="shared" si="4"/>
        <v>0.17486504979852505</v>
      </c>
      <c r="T16" s="228">
        <f>SUM(T5:T15)</f>
        <v>29</v>
      </c>
      <c r="U16" s="192">
        <f t="shared" si="5"/>
        <v>0.07349400643706126</v>
      </c>
      <c r="V16" s="38">
        <f t="shared" si="6"/>
        <v>4.246153846153846</v>
      </c>
      <c r="W16" s="237">
        <f>SUM(W5:W15)</f>
        <v>10604</v>
      </c>
      <c r="X16" s="191">
        <f>W16/G16*100</f>
        <v>26.873463595124054</v>
      </c>
      <c r="Y16" s="237">
        <f>SUM(Y5:Y15)</f>
        <v>23761</v>
      </c>
      <c r="Z16" s="267"/>
      <c r="AA16" s="268"/>
    </row>
    <row r="17" spans="1:27" ht="9.75" customHeight="1">
      <c r="A17" s="331"/>
      <c r="B17" s="73" t="s">
        <v>13</v>
      </c>
      <c r="C17" s="74" t="s">
        <v>14</v>
      </c>
      <c r="D17" s="184"/>
      <c r="E17" s="184"/>
      <c r="F17" s="185"/>
      <c r="G17" s="186">
        <f>18719+5725+453+823+178+312+2073</f>
        <v>28283</v>
      </c>
      <c r="H17" s="187"/>
      <c r="I17" s="150">
        <f t="shared" si="0"/>
        <v>1551</v>
      </c>
      <c r="J17" s="151">
        <f t="shared" si="1"/>
        <v>5.483859562281229</v>
      </c>
      <c r="K17" s="150">
        <f t="shared" si="2"/>
        <v>1260</v>
      </c>
      <c r="L17" s="151">
        <f t="shared" si="3"/>
        <v>81.23791102514507</v>
      </c>
      <c r="M17" s="150">
        <f>135+164+1+23+15+2+20</f>
        <v>360</v>
      </c>
      <c r="N17" s="150">
        <f>27+20+1+1+1+4</f>
        <v>54</v>
      </c>
      <c r="O17" s="150">
        <v>0</v>
      </c>
      <c r="P17" s="150">
        <f>559+185+63+9+13+2+15</f>
        <v>846</v>
      </c>
      <c r="Q17" s="150">
        <f>177+29+1+1</f>
        <v>208</v>
      </c>
      <c r="R17" s="188">
        <f>28+33+3+6+5+8</f>
        <v>83</v>
      </c>
      <c r="S17" s="189">
        <f t="shared" si="4"/>
        <v>0.19092741222642576</v>
      </c>
      <c r="T17" s="229">
        <f>14+7+3</f>
        <v>24</v>
      </c>
      <c r="U17" s="189">
        <f t="shared" si="5"/>
        <v>0.08485662765618923</v>
      </c>
      <c r="V17" s="151">
        <f t="shared" si="6"/>
        <v>4.285714285714286</v>
      </c>
      <c r="W17" s="238">
        <f>4796+2593+85+244+36+76+685</f>
        <v>8515</v>
      </c>
      <c r="X17" s="246">
        <f t="shared" si="7"/>
        <v>30.106424353852134</v>
      </c>
      <c r="Y17" s="258">
        <f>11860+2732+274+523+40+1340</f>
        <v>16769</v>
      </c>
      <c r="Z17" s="269"/>
      <c r="AA17" s="270"/>
    </row>
    <row r="18" spans="1:27" ht="9.75" customHeight="1" thickBot="1">
      <c r="A18" s="332"/>
      <c r="B18" s="75" t="s">
        <v>15</v>
      </c>
      <c r="C18" s="76" t="s">
        <v>16</v>
      </c>
      <c r="D18" s="169"/>
      <c r="E18" s="169"/>
      <c r="F18" s="170"/>
      <c r="G18" s="77">
        <f>420+3630+1279+1401+1651+594+202+489+390+1120</f>
        <v>11176</v>
      </c>
      <c r="H18" s="173"/>
      <c r="I18" s="62">
        <f t="shared" si="0"/>
        <v>436</v>
      </c>
      <c r="J18" s="69">
        <f t="shared" si="1"/>
        <v>3.9012168933428777</v>
      </c>
      <c r="K18" s="62">
        <f t="shared" si="2"/>
        <v>365</v>
      </c>
      <c r="L18" s="69">
        <f t="shared" si="3"/>
        <v>83.71559633027523</v>
      </c>
      <c r="M18" s="62">
        <f>10+67+16+18+21+3+8+4+10+13</f>
        <v>170</v>
      </c>
      <c r="N18" s="62">
        <f>2+4+2+2+4+1</f>
        <v>15</v>
      </c>
      <c r="O18" s="62">
        <v>0</v>
      </c>
      <c r="P18" s="62">
        <f>12+67+27+20+34+2+11+3+1+3</f>
        <v>180</v>
      </c>
      <c r="Q18" s="62">
        <f>1+5+3+7+1</f>
        <v>17</v>
      </c>
      <c r="R18" s="98">
        <f>4+2+9+5+7+1+3+2+21</f>
        <v>54</v>
      </c>
      <c r="S18" s="92">
        <f t="shared" si="4"/>
        <v>0.13421617752326415</v>
      </c>
      <c r="T18" s="230">
        <f>1+1+3</f>
        <v>5</v>
      </c>
      <c r="U18" s="92">
        <f t="shared" si="5"/>
        <v>0.044738725841088046</v>
      </c>
      <c r="V18" s="69">
        <f t="shared" si="6"/>
        <v>4.10958904109589</v>
      </c>
      <c r="W18" s="239">
        <f>57+615+280+173+274+281+41+157+82+129</f>
        <v>2089</v>
      </c>
      <c r="X18" s="247">
        <f t="shared" si="7"/>
        <v>18.691839656406586</v>
      </c>
      <c r="Y18" s="259">
        <f>349+2583+884+239+1210+376+357+264+730</f>
        <v>6992</v>
      </c>
      <c r="Z18" s="271"/>
      <c r="AA18" s="272"/>
    </row>
    <row r="19" spans="1:27" ht="9.75" customHeight="1">
      <c r="A19" s="328" t="s">
        <v>105</v>
      </c>
      <c r="B19" s="82" t="s">
        <v>3</v>
      </c>
      <c r="C19" s="83"/>
      <c r="D19" s="168"/>
      <c r="E19" s="168"/>
      <c r="F19" s="172"/>
      <c r="G19" s="72">
        <f>4+18</f>
        <v>22</v>
      </c>
      <c r="H19" s="171"/>
      <c r="I19" s="60">
        <f t="shared" si="0"/>
        <v>3</v>
      </c>
      <c r="J19" s="67">
        <f t="shared" si="1"/>
        <v>13.636363636363635</v>
      </c>
      <c r="K19" s="60">
        <f t="shared" si="2"/>
        <v>3</v>
      </c>
      <c r="L19" s="67">
        <f t="shared" si="3"/>
        <v>100</v>
      </c>
      <c r="M19" s="60">
        <v>1</v>
      </c>
      <c r="N19" s="60">
        <v>0</v>
      </c>
      <c r="O19" s="60">
        <v>0</v>
      </c>
      <c r="P19" s="60">
        <f>1+1</f>
        <v>2</v>
      </c>
      <c r="Q19" s="60">
        <v>0</v>
      </c>
      <c r="R19" s="97">
        <v>0</v>
      </c>
      <c r="S19" s="91">
        <f t="shared" si="4"/>
        <v>0</v>
      </c>
      <c r="T19" s="226">
        <v>0</v>
      </c>
      <c r="U19" s="91">
        <f t="shared" si="5"/>
        <v>0</v>
      </c>
      <c r="V19" s="67">
        <f t="shared" si="6"/>
        <v>0</v>
      </c>
      <c r="W19" s="240">
        <f>1+8</f>
        <v>9</v>
      </c>
      <c r="X19" s="248">
        <f aca="true" t="shared" si="11" ref="X19:X42">W19/G19*100</f>
        <v>40.909090909090914</v>
      </c>
      <c r="Y19" s="260">
        <v>2</v>
      </c>
      <c r="Z19" s="269"/>
      <c r="AA19" s="270"/>
    </row>
    <row r="20" spans="1:27" ht="9.75" customHeight="1">
      <c r="A20" s="328"/>
      <c r="B20" s="82" t="s">
        <v>4</v>
      </c>
      <c r="C20" s="83"/>
      <c r="D20" s="168"/>
      <c r="E20" s="168"/>
      <c r="F20" s="172"/>
      <c r="G20" s="72">
        <f>13+17</f>
        <v>30</v>
      </c>
      <c r="H20" s="171"/>
      <c r="I20" s="60">
        <f t="shared" si="0"/>
        <v>2</v>
      </c>
      <c r="J20" s="67">
        <f t="shared" si="1"/>
        <v>6.666666666666667</v>
      </c>
      <c r="K20" s="60">
        <f t="shared" si="2"/>
        <v>2</v>
      </c>
      <c r="L20" s="67">
        <f t="shared" si="3"/>
        <v>100</v>
      </c>
      <c r="M20" s="60">
        <v>1</v>
      </c>
      <c r="N20" s="60">
        <v>0</v>
      </c>
      <c r="O20" s="60">
        <v>0</v>
      </c>
      <c r="P20" s="60">
        <v>1</v>
      </c>
      <c r="Q20" s="60">
        <v>0</v>
      </c>
      <c r="R20" s="97">
        <v>0</v>
      </c>
      <c r="S20" s="91">
        <f t="shared" si="4"/>
        <v>0</v>
      </c>
      <c r="T20" s="226">
        <v>0</v>
      </c>
      <c r="U20" s="91">
        <f t="shared" si="5"/>
        <v>0</v>
      </c>
      <c r="V20" s="67">
        <f t="shared" si="6"/>
        <v>0</v>
      </c>
      <c r="W20" s="240">
        <f>4+7</f>
        <v>11</v>
      </c>
      <c r="X20" s="89">
        <f t="shared" si="11"/>
        <v>36.666666666666664</v>
      </c>
      <c r="Y20" s="260">
        <v>6</v>
      </c>
      <c r="Z20" s="168"/>
      <c r="AA20" s="265"/>
    </row>
    <row r="21" spans="1:27" ht="9.75" customHeight="1">
      <c r="A21" s="328"/>
      <c r="B21" s="82" t="s">
        <v>5</v>
      </c>
      <c r="C21" s="83"/>
      <c r="D21" s="168"/>
      <c r="E21" s="168"/>
      <c r="F21" s="172"/>
      <c r="G21" s="72">
        <f>7+16</f>
        <v>23</v>
      </c>
      <c r="H21" s="171"/>
      <c r="I21" s="60">
        <f t="shared" si="0"/>
        <v>1</v>
      </c>
      <c r="J21" s="67">
        <f t="shared" si="1"/>
        <v>4.3478260869565215</v>
      </c>
      <c r="K21" s="60">
        <f t="shared" si="2"/>
        <v>1</v>
      </c>
      <c r="L21" s="67">
        <f t="shared" si="3"/>
        <v>100</v>
      </c>
      <c r="M21" s="60">
        <v>0</v>
      </c>
      <c r="N21" s="60">
        <v>0</v>
      </c>
      <c r="O21" s="60">
        <v>0</v>
      </c>
      <c r="P21" s="60">
        <v>1</v>
      </c>
      <c r="Q21" s="60">
        <v>0</v>
      </c>
      <c r="R21" s="97">
        <v>0</v>
      </c>
      <c r="S21" s="91">
        <f t="shared" si="4"/>
        <v>0</v>
      </c>
      <c r="T21" s="226">
        <v>0</v>
      </c>
      <c r="U21" s="91">
        <f t="shared" si="5"/>
        <v>0</v>
      </c>
      <c r="V21" s="67">
        <f t="shared" si="6"/>
        <v>0</v>
      </c>
      <c r="W21" s="240">
        <f>3+1</f>
        <v>4</v>
      </c>
      <c r="X21" s="89">
        <f t="shared" si="11"/>
        <v>17.391304347826086</v>
      </c>
      <c r="Y21" s="260">
        <v>4</v>
      </c>
      <c r="Z21" s="168"/>
      <c r="AA21" s="265"/>
    </row>
    <row r="22" spans="1:27" ht="9.75" customHeight="1">
      <c r="A22" s="328"/>
      <c r="B22" s="82" t="s">
        <v>6</v>
      </c>
      <c r="C22" s="83"/>
      <c r="D22" s="168"/>
      <c r="E22" s="168"/>
      <c r="F22" s="172"/>
      <c r="G22" s="72">
        <f>10+21</f>
        <v>31</v>
      </c>
      <c r="H22" s="171"/>
      <c r="I22" s="60">
        <f t="shared" si="0"/>
        <v>0</v>
      </c>
      <c r="J22" s="67">
        <f t="shared" si="1"/>
        <v>0</v>
      </c>
      <c r="K22" s="60">
        <f t="shared" si="2"/>
        <v>0</v>
      </c>
      <c r="L22" s="67" t="e">
        <f t="shared" si="3"/>
        <v>#DIV/0!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97">
        <v>0</v>
      </c>
      <c r="S22" s="91">
        <f t="shared" si="4"/>
        <v>0</v>
      </c>
      <c r="T22" s="226">
        <v>0</v>
      </c>
      <c r="U22" s="91">
        <f t="shared" si="5"/>
        <v>0</v>
      </c>
      <c r="V22" s="67" t="e">
        <f t="shared" si="6"/>
        <v>#DIV/0!</v>
      </c>
      <c r="W22" s="240">
        <f>4+7</f>
        <v>11</v>
      </c>
      <c r="X22" s="89">
        <f t="shared" si="11"/>
        <v>35.483870967741936</v>
      </c>
      <c r="Y22" s="260">
        <v>4</v>
      </c>
      <c r="Z22" s="168"/>
      <c r="AA22" s="265"/>
    </row>
    <row r="23" spans="1:27" ht="9.75" customHeight="1">
      <c r="A23" s="328"/>
      <c r="B23" s="82" t="s">
        <v>7</v>
      </c>
      <c r="C23" s="83"/>
      <c r="D23" s="168"/>
      <c r="E23" s="168"/>
      <c r="F23" s="172"/>
      <c r="G23" s="72">
        <f>18+47</f>
        <v>65</v>
      </c>
      <c r="H23" s="171"/>
      <c r="I23" s="60">
        <f t="shared" si="0"/>
        <v>0</v>
      </c>
      <c r="J23" s="67">
        <f t="shared" si="1"/>
        <v>0</v>
      </c>
      <c r="K23" s="60">
        <f t="shared" si="2"/>
        <v>0</v>
      </c>
      <c r="L23" s="67" t="e">
        <f t="shared" si="3"/>
        <v>#DIV/0!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97">
        <v>0</v>
      </c>
      <c r="S23" s="91">
        <f t="shared" si="4"/>
        <v>0</v>
      </c>
      <c r="T23" s="226">
        <v>0</v>
      </c>
      <c r="U23" s="91">
        <f t="shared" si="5"/>
        <v>0</v>
      </c>
      <c r="V23" s="67" t="e">
        <f t="shared" si="6"/>
        <v>#DIV/0!</v>
      </c>
      <c r="W23" s="240">
        <f>3+17</f>
        <v>20</v>
      </c>
      <c r="X23" s="89">
        <f t="shared" si="11"/>
        <v>30.76923076923077</v>
      </c>
      <c r="Y23" s="260">
        <v>12</v>
      </c>
      <c r="Z23" s="168"/>
      <c r="AA23" s="265"/>
    </row>
    <row r="24" spans="1:27" ht="9.75" customHeight="1">
      <c r="A24" s="328"/>
      <c r="B24" s="82" t="s">
        <v>8</v>
      </c>
      <c r="C24" s="83"/>
      <c r="D24" s="168"/>
      <c r="E24" s="168"/>
      <c r="F24" s="172"/>
      <c r="G24" s="72">
        <f>21+36</f>
        <v>57</v>
      </c>
      <c r="H24" s="171"/>
      <c r="I24" s="60">
        <f t="shared" si="0"/>
        <v>3</v>
      </c>
      <c r="J24" s="67">
        <f t="shared" si="1"/>
        <v>5.263157894736842</v>
      </c>
      <c r="K24" s="60">
        <f t="shared" si="2"/>
        <v>3</v>
      </c>
      <c r="L24" s="67">
        <f t="shared" si="3"/>
        <v>100</v>
      </c>
      <c r="M24" s="60">
        <v>1</v>
      </c>
      <c r="N24" s="60">
        <v>0</v>
      </c>
      <c r="O24" s="60">
        <v>0</v>
      </c>
      <c r="P24" s="60">
        <v>2</v>
      </c>
      <c r="Q24" s="60">
        <v>0</v>
      </c>
      <c r="R24" s="97">
        <v>0</v>
      </c>
      <c r="S24" s="91">
        <f t="shared" si="4"/>
        <v>0</v>
      </c>
      <c r="T24" s="226">
        <v>0</v>
      </c>
      <c r="U24" s="91">
        <f t="shared" si="5"/>
        <v>0</v>
      </c>
      <c r="V24" s="67">
        <f t="shared" si="6"/>
        <v>0</v>
      </c>
      <c r="W24" s="240">
        <f>7+5</f>
        <v>12</v>
      </c>
      <c r="X24" s="89">
        <f t="shared" si="11"/>
        <v>21.052631578947366</v>
      </c>
      <c r="Y24" s="260">
        <v>5</v>
      </c>
      <c r="Z24" s="168"/>
      <c r="AA24" s="265"/>
    </row>
    <row r="25" spans="1:27" ht="9.75" customHeight="1">
      <c r="A25" s="328"/>
      <c r="B25" s="82" t="s">
        <v>9</v>
      </c>
      <c r="C25" s="83"/>
      <c r="D25" s="168"/>
      <c r="E25" s="168"/>
      <c r="F25" s="172"/>
      <c r="G25" s="72">
        <f>27+42</f>
        <v>69</v>
      </c>
      <c r="H25" s="171"/>
      <c r="I25" s="60">
        <f t="shared" si="0"/>
        <v>1</v>
      </c>
      <c r="J25" s="67">
        <f t="shared" si="1"/>
        <v>1.4492753623188406</v>
      </c>
      <c r="K25" s="60">
        <f t="shared" si="2"/>
        <v>1</v>
      </c>
      <c r="L25" s="67">
        <f t="shared" si="3"/>
        <v>100</v>
      </c>
      <c r="M25" s="60">
        <v>1</v>
      </c>
      <c r="N25" s="60">
        <v>0</v>
      </c>
      <c r="O25" s="60">
        <v>0</v>
      </c>
      <c r="P25" s="60">
        <v>0</v>
      </c>
      <c r="Q25" s="60">
        <v>0</v>
      </c>
      <c r="R25" s="97">
        <v>0</v>
      </c>
      <c r="S25" s="91">
        <f t="shared" si="4"/>
        <v>0</v>
      </c>
      <c r="T25" s="226">
        <v>0</v>
      </c>
      <c r="U25" s="91">
        <f t="shared" si="5"/>
        <v>0</v>
      </c>
      <c r="V25" s="67">
        <f t="shared" si="6"/>
        <v>0</v>
      </c>
      <c r="W25" s="240">
        <f>2+10</f>
        <v>12</v>
      </c>
      <c r="X25" s="89">
        <f t="shared" si="11"/>
        <v>17.391304347826086</v>
      </c>
      <c r="Y25" s="260">
        <v>10</v>
      </c>
      <c r="Z25" s="168"/>
      <c r="AA25" s="265"/>
    </row>
    <row r="26" spans="1:27" ht="9.75" customHeight="1">
      <c r="A26" s="328"/>
      <c r="B26" s="82" t="s">
        <v>10</v>
      </c>
      <c r="C26" s="83"/>
      <c r="D26" s="168"/>
      <c r="E26" s="168"/>
      <c r="F26" s="172"/>
      <c r="G26" s="72">
        <f>9+18</f>
        <v>27</v>
      </c>
      <c r="H26" s="171"/>
      <c r="I26" s="60">
        <f t="shared" si="0"/>
        <v>1</v>
      </c>
      <c r="J26" s="67">
        <f t="shared" si="1"/>
        <v>3.7037037037037033</v>
      </c>
      <c r="K26" s="60">
        <f t="shared" si="2"/>
        <v>1</v>
      </c>
      <c r="L26" s="67">
        <f t="shared" si="3"/>
        <v>100</v>
      </c>
      <c r="M26" s="60">
        <v>1</v>
      </c>
      <c r="N26" s="60">
        <v>0</v>
      </c>
      <c r="O26" s="60">
        <v>0</v>
      </c>
      <c r="P26" s="60">
        <v>0</v>
      </c>
      <c r="Q26" s="60">
        <v>0</v>
      </c>
      <c r="R26" s="97">
        <v>0</v>
      </c>
      <c r="S26" s="91">
        <f t="shared" si="4"/>
        <v>0</v>
      </c>
      <c r="T26" s="226">
        <v>0</v>
      </c>
      <c r="U26" s="91">
        <f t="shared" si="5"/>
        <v>0</v>
      </c>
      <c r="V26" s="67">
        <f t="shared" si="6"/>
        <v>0</v>
      </c>
      <c r="W26" s="240">
        <f>1+1</f>
        <v>2</v>
      </c>
      <c r="X26" s="89">
        <f t="shared" si="11"/>
        <v>7.4074074074074066</v>
      </c>
      <c r="Y26" s="260">
        <v>2</v>
      </c>
      <c r="Z26" s="168"/>
      <c r="AA26" s="265"/>
    </row>
    <row r="27" spans="1:27" ht="9.75" customHeight="1">
      <c r="A27" s="328"/>
      <c r="B27" s="181" t="s">
        <v>11</v>
      </c>
      <c r="C27" s="182"/>
      <c r="D27" s="174"/>
      <c r="E27" s="174"/>
      <c r="F27" s="175"/>
      <c r="G27" s="176">
        <f>8+6</f>
        <v>14</v>
      </c>
      <c r="H27" s="177"/>
      <c r="I27" s="141">
        <f>SUM(M27:R27)</f>
        <v>2</v>
      </c>
      <c r="J27" s="142">
        <f t="shared" si="1"/>
        <v>14.285714285714285</v>
      </c>
      <c r="K27" s="141">
        <f t="shared" si="2"/>
        <v>2</v>
      </c>
      <c r="L27" s="142">
        <f t="shared" si="3"/>
        <v>100</v>
      </c>
      <c r="M27" s="141">
        <f>1+1</f>
        <v>2</v>
      </c>
      <c r="N27" s="141">
        <v>0</v>
      </c>
      <c r="O27" s="141">
        <v>0</v>
      </c>
      <c r="P27" s="141">
        <v>0</v>
      </c>
      <c r="Q27" s="141">
        <v>0</v>
      </c>
      <c r="R27" s="178">
        <v>0</v>
      </c>
      <c r="S27" s="179">
        <f t="shared" si="4"/>
        <v>0</v>
      </c>
      <c r="T27" s="227">
        <v>0</v>
      </c>
      <c r="U27" s="179">
        <f t="shared" si="5"/>
        <v>0</v>
      </c>
      <c r="V27" s="142">
        <f t="shared" si="6"/>
        <v>0</v>
      </c>
      <c r="W27" s="241">
        <f>2+2</f>
        <v>4</v>
      </c>
      <c r="X27" s="183">
        <f t="shared" si="11"/>
        <v>28.57142857142857</v>
      </c>
      <c r="Y27" s="261">
        <v>3</v>
      </c>
      <c r="Z27" s="174"/>
      <c r="AA27" s="266"/>
    </row>
    <row r="28" spans="1:27" ht="9.75" customHeight="1">
      <c r="A28" s="328"/>
      <c r="B28" s="193" t="s">
        <v>12</v>
      </c>
      <c r="C28" s="87"/>
      <c r="D28" s="219"/>
      <c r="E28" s="219"/>
      <c r="F28" s="220"/>
      <c r="G28" s="36">
        <f>SUM(G19:G27)</f>
        <v>338</v>
      </c>
      <c r="H28" s="221"/>
      <c r="I28" s="37">
        <f>SUM(M28:R28)</f>
        <v>13</v>
      </c>
      <c r="J28" s="38">
        <f t="shared" si="1"/>
        <v>3.8461538461538463</v>
      </c>
      <c r="K28" s="37">
        <f>SUM(M28:P28)</f>
        <v>13</v>
      </c>
      <c r="L28" s="38">
        <f t="shared" si="3"/>
        <v>100</v>
      </c>
      <c r="M28" s="35">
        <f aca="true" t="shared" si="12" ref="M28:R28">SUM(M19:M27)</f>
        <v>7</v>
      </c>
      <c r="N28" s="35">
        <f t="shared" si="12"/>
        <v>0</v>
      </c>
      <c r="O28" s="35">
        <f t="shared" si="12"/>
        <v>0</v>
      </c>
      <c r="P28" s="35">
        <f t="shared" si="12"/>
        <v>6</v>
      </c>
      <c r="Q28" s="35">
        <f t="shared" si="12"/>
        <v>0</v>
      </c>
      <c r="R28" s="39">
        <f t="shared" si="12"/>
        <v>0</v>
      </c>
      <c r="S28" s="192">
        <f t="shared" si="4"/>
        <v>0</v>
      </c>
      <c r="T28" s="228">
        <f>SUM(T19:T27)</f>
        <v>0</v>
      </c>
      <c r="U28" s="192">
        <f t="shared" si="5"/>
        <v>0</v>
      </c>
      <c r="V28" s="38">
        <f t="shared" si="6"/>
        <v>0</v>
      </c>
      <c r="W28" s="242">
        <f>SUM(W19:W27)</f>
        <v>85</v>
      </c>
      <c r="X28" s="191">
        <f t="shared" si="11"/>
        <v>25.14792899408284</v>
      </c>
      <c r="Y28" s="242">
        <f>SUM(Y19:Y27)</f>
        <v>48</v>
      </c>
      <c r="Z28" s="267"/>
      <c r="AA28" s="268"/>
    </row>
    <row r="29" spans="1:27" ht="9.75" customHeight="1">
      <c r="A29" s="328"/>
      <c r="B29" s="73" t="s">
        <v>13</v>
      </c>
      <c r="C29" s="190" t="s">
        <v>14</v>
      </c>
      <c r="D29" s="184"/>
      <c r="E29" s="184"/>
      <c r="F29" s="185"/>
      <c r="G29" s="186">
        <v>0</v>
      </c>
      <c r="H29" s="187"/>
      <c r="I29" s="150">
        <f t="shared" si="0"/>
        <v>0</v>
      </c>
      <c r="J29" s="151" t="e">
        <f t="shared" si="1"/>
        <v>#DIV/0!</v>
      </c>
      <c r="K29" s="150">
        <f t="shared" si="2"/>
        <v>0</v>
      </c>
      <c r="L29" s="151" t="e">
        <f t="shared" si="3"/>
        <v>#DIV/0!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88">
        <v>0</v>
      </c>
      <c r="S29" s="189" t="e">
        <f t="shared" si="4"/>
        <v>#DIV/0!</v>
      </c>
      <c r="T29" s="229">
        <v>0</v>
      </c>
      <c r="U29" s="189" t="e">
        <f t="shared" si="5"/>
        <v>#DIV/0!</v>
      </c>
      <c r="V29" s="151" t="e">
        <f t="shared" si="6"/>
        <v>#DIV/0!</v>
      </c>
      <c r="W29" s="238">
        <v>0</v>
      </c>
      <c r="X29" s="246" t="e">
        <f t="shared" si="11"/>
        <v>#DIV/0!</v>
      </c>
      <c r="Y29" s="258">
        <v>0</v>
      </c>
      <c r="Z29" s="269"/>
      <c r="AA29" s="270"/>
    </row>
    <row r="30" spans="1:27" ht="9.75" customHeight="1" thickBot="1">
      <c r="A30" s="329"/>
      <c r="B30" s="75" t="s">
        <v>15</v>
      </c>
      <c r="C30" s="76" t="s">
        <v>16</v>
      </c>
      <c r="D30" s="169"/>
      <c r="E30" s="169"/>
      <c r="F30" s="170"/>
      <c r="G30" s="77">
        <f>117+221</f>
        <v>338</v>
      </c>
      <c r="H30" s="173"/>
      <c r="I30" s="62">
        <f t="shared" si="0"/>
        <v>13</v>
      </c>
      <c r="J30" s="69">
        <f t="shared" si="1"/>
        <v>3.8461538461538463</v>
      </c>
      <c r="K30" s="62">
        <f t="shared" si="2"/>
        <v>13</v>
      </c>
      <c r="L30" s="69">
        <f t="shared" si="3"/>
        <v>100</v>
      </c>
      <c r="M30" s="62">
        <f>4+3</f>
        <v>7</v>
      </c>
      <c r="N30" s="62">
        <v>0</v>
      </c>
      <c r="O30" s="62">
        <v>0</v>
      </c>
      <c r="P30" s="62">
        <f>2+4</f>
        <v>6</v>
      </c>
      <c r="Q30" s="62">
        <v>0</v>
      </c>
      <c r="R30" s="98">
        <v>0</v>
      </c>
      <c r="S30" s="92">
        <f t="shared" si="4"/>
        <v>0</v>
      </c>
      <c r="T30" s="230">
        <v>0</v>
      </c>
      <c r="U30" s="92">
        <f t="shared" si="5"/>
        <v>0</v>
      </c>
      <c r="V30" s="69">
        <f t="shared" si="6"/>
        <v>0</v>
      </c>
      <c r="W30" s="239">
        <f>27+58</f>
        <v>85</v>
      </c>
      <c r="X30" s="249">
        <f t="shared" si="11"/>
        <v>25.14792899408284</v>
      </c>
      <c r="Y30" s="259">
        <v>48</v>
      </c>
      <c r="Z30" s="271"/>
      <c r="AA30" s="272"/>
    </row>
    <row r="31" spans="1:27" ht="9.75" customHeight="1">
      <c r="A31" s="328" t="s">
        <v>99</v>
      </c>
      <c r="B31" s="82" t="s">
        <v>3</v>
      </c>
      <c r="C31" s="83"/>
      <c r="D31" s="59">
        <f>21760+13956+3229+2755+2257+4446+740+756+1201+3911+1234</f>
        <v>56245</v>
      </c>
      <c r="E31" s="59">
        <f>4070+4096+850+801+715+1415+243+326+240+1033+237</f>
        <v>14026</v>
      </c>
      <c r="F31" s="89">
        <f aca="true" t="shared" si="13" ref="F31:F40">E31/D31*100</f>
        <v>24.937327762467774</v>
      </c>
      <c r="G31" s="72">
        <f>655+649+197+166+82+226+49+67+50+218+105</f>
        <v>2464</v>
      </c>
      <c r="H31" s="67">
        <f aca="true" t="shared" si="14" ref="H31:H40">G31/E31*100</f>
        <v>17.56737487523171</v>
      </c>
      <c r="I31" s="60">
        <f t="shared" si="0"/>
        <v>215</v>
      </c>
      <c r="J31" s="67">
        <f t="shared" si="1"/>
        <v>8.72564935064935</v>
      </c>
      <c r="K31" s="60">
        <f t="shared" si="2"/>
        <v>174</v>
      </c>
      <c r="L31" s="67">
        <f t="shared" si="3"/>
        <v>80.93023255813954</v>
      </c>
      <c r="M31" s="60">
        <f>21+16+4+7+2+3+1+1+2+8+1</f>
        <v>66</v>
      </c>
      <c r="N31" s="60">
        <f>2+1+2</f>
        <v>5</v>
      </c>
      <c r="O31" s="60">
        <v>0</v>
      </c>
      <c r="P31" s="60">
        <f>34+21+4+5+2+10+2+4+3+17+1</f>
        <v>103</v>
      </c>
      <c r="Q31" s="60">
        <f>11+4+1</f>
        <v>16</v>
      </c>
      <c r="R31" s="97">
        <f>1+4+1+1+10+1+3+4</f>
        <v>25</v>
      </c>
      <c r="S31" s="91">
        <f t="shared" si="4"/>
        <v>0.2029220779220779</v>
      </c>
      <c r="T31" s="226">
        <f>1+1</f>
        <v>2</v>
      </c>
      <c r="U31" s="91">
        <f t="shared" si="5"/>
        <v>0.08116883116883117</v>
      </c>
      <c r="V31" s="67">
        <f t="shared" si="6"/>
        <v>2.8735632183908044</v>
      </c>
      <c r="W31" s="240">
        <f>643+436+107+103+26+125+21+28+29+92+35</f>
        <v>1645</v>
      </c>
      <c r="X31" s="89">
        <f t="shared" si="11"/>
        <v>66.76136363636364</v>
      </c>
      <c r="Y31" s="260">
        <f>1+167+67+48+59+79+23+28+19+69+44</f>
        <v>604</v>
      </c>
      <c r="Z31" s="262">
        <v>1596</v>
      </c>
      <c r="AA31" s="274">
        <f>(G31+Z31-Y31)/E31*100</f>
        <v>24.63995437045487</v>
      </c>
    </row>
    <row r="32" spans="1:27" ht="9.75" customHeight="1">
      <c r="A32" s="328"/>
      <c r="B32" s="82" t="s">
        <v>4</v>
      </c>
      <c r="C32" s="83"/>
      <c r="D32" s="59">
        <f>20622+13051+3456+2854+2416+4548+883+985+1447+4434+1355</f>
        <v>56051</v>
      </c>
      <c r="E32" s="59">
        <f>3579+3785+869+777+705+1454+270+360+239+1005+212</f>
        <v>13255</v>
      </c>
      <c r="F32" s="89">
        <f t="shared" si="13"/>
        <v>23.64810618900644</v>
      </c>
      <c r="G32" s="72">
        <f>377+562+222+204+46+207+45+95+45+220+121</f>
        <v>2144</v>
      </c>
      <c r="H32" s="67">
        <f t="shared" si="14"/>
        <v>16.175028291210864</v>
      </c>
      <c r="I32" s="60">
        <f t="shared" si="0"/>
        <v>207</v>
      </c>
      <c r="J32" s="67">
        <f t="shared" si="1"/>
        <v>9.654850746268655</v>
      </c>
      <c r="K32" s="60">
        <f t="shared" si="2"/>
        <v>170</v>
      </c>
      <c r="L32" s="67">
        <f t="shared" si="3"/>
        <v>82.1256038647343</v>
      </c>
      <c r="M32" s="60">
        <f>6+12+4+1+4+2+1+3+11+8</f>
        <v>52</v>
      </c>
      <c r="N32" s="60">
        <f>1+2+1+1+2</f>
        <v>7</v>
      </c>
      <c r="O32" s="60">
        <v>0</v>
      </c>
      <c r="P32" s="60">
        <f>26+28+13+9+7+1+5+16+6</f>
        <v>111</v>
      </c>
      <c r="Q32" s="60">
        <f>6+3+3</f>
        <v>12</v>
      </c>
      <c r="R32" s="97">
        <f>2+3+1+13+3+3</f>
        <v>25</v>
      </c>
      <c r="S32" s="91">
        <f t="shared" si="4"/>
        <v>0.3264925373134328</v>
      </c>
      <c r="T32" s="226">
        <f>1+1</f>
        <v>2</v>
      </c>
      <c r="U32" s="91">
        <f t="shared" si="5"/>
        <v>0.09328358208955223</v>
      </c>
      <c r="V32" s="67">
        <f t="shared" si="6"/>
        <v>4.117647058823529</v>
      </c>
      <c r="W32" s="240">
        <f>351+288+81+80+28+83+17+29+15+70+38</f>
        <v>1080</v>
      </c>
      <c r="X32" s="89">
        <f t="shared" si="11"/>
        <v>50.373134328358205</v>
      </c>
      <c r="Y32" s="260">
        <f>9+191+108+98+44+87+22+47+19+112+57</f>
        <v>794</v>
      </c>
      <c r="Z32" s="59">
        <v>1631</v>
      </c>
      <c r="AA32" s="274">
        <f aca="true" t="shared" si="15" ref="AA32:AA40">(G32+Z32-Y32)/E32*100</f>
        <v>22.4896265560166</v>
      </c>
    </row>
    <row r="33" spans="1:27" ht="9.75" customHeight="1">
      <c r="A33" s="328"/>
      <c r="B33" s="82" t="s">
        <v>5</v>
      </c>
      <c r="C33" s="83"/>
      <c r="D33" s="59">
        <f>20239+13706+4018+3266+2638+5240+1095+1126+1703+4841+1626</f>
        <v>59498</v>
      </c>
      <c r="E33" s="59">
        <f>4080+5328+1256+890+900+1874+356+407+463+1304+295</f>
        <v>17153</v>
      </c>
      <c r="F33" s="89">
        <f t="shared" si="13"/>
        <v>28.829540488755924</v>
      </c>
      <c r="G33" s="72">
        <f>672+496+231+234+80+262+48+124+64+255+160</f>
        <v>2626</v>
      </c>
      <c r="H33" s="67">
        <f t="shared" si="14"/>
        <v>15.309275345420625</v>
      </c>
      <c r="I33" s="60">
        <f t="shared" si="0"/>
        <v>225</v>
      </c>
      <c r="J33" s="67">
        <f t="shared" si="1"/>
        <v>8.568164508758567</v>
      </c>
      <c r="K33" s="60">
        <f t="shared" si="2"/>
        <v>186</v>
      </c>
      <c r="L33" s="67">
        <f t="shared" si="3"/>
        <v>82.66666666666667</v>
      </c>
      <c r="M33" s="60">
        <f>22+10+3+1+3+3+1+3+12+2</f>
        <v>60</v>
      </c>
      <c r="N33" s="60">
        <f>1+1+1+1</f>
        <v>4</v>
      </c>
      <c r="O33" s="60">
        <v>1</v>
      </c>
      <c r="P33" s="60">
        <f>41+18+9+13+16+1+5+2+10+6</f>
        <v>121</v>
      </c>
      <c r="Q33" s="60">
        <f>11+5+1+4</f>
        <v>21</v>
      </c>
      <c r="R33" s="97">
        <f>1+3+1+8+1+4</f>
        <v>18</v>
      </c>
      <c r="S33" s="91">
        <f t="shared" si="4"/>
        <v>0.15232292460015232</v>
      </c>
      <c r="T33" s="226">
        <v>1</v>
      </c>
      <c r="U33" s="91">
        <f t="shared" si="5"/>
        <v>0.03808073115003808</v>
      </c>
      <c r="V33" s="67">
        <f t="shared" si="6"/>
        <v>2.1505376344086025</v>
      </c>
      <c r="W33" s="240">
        <f>566+257+83+93+30+73+13+29+32+91+46</f>
        <v>1313</v>
      </c>
      <c r="X33" s="89">
        <f t="shared" si="11"/>
        <v>50</v>
      </c>
      <c r="Y33" s="260">
        <f>9+179+122+106+49+129+22+75+19+110+73</f>
        <v>893</v>
      </c>
      <c r="Z33" s="59">
        <v>2278</v>
      </c>
      <c r="AA33" s="274">
        <f t="shared" si="15"/>
        <v>23.383664665073166</v>
      </c>
    </row>
    <row r="34" spans="1:27" ht="9.75" customHeight="1">
      <c r="A34" s="328"/>
      <c r="B34" s="82" t="s">
        <v>6</v>
      </c>
      <c r="C34" s="83"/>
      <c r="D34" s="59">
        <f>25803+18556+5427+4621+3337+6543+1282+1327+2103+5731+2068</f>
        <v>76798</v>
      </c>
      <c r="E34" s="59">
        <f>6116+8895+2323+1562+1499+2966+526+604+729+1989+420</f>
        <v>27629</v>
      </c>
      <c r="F34" s="89">
        <f t="shared" si="13"/>
        <v>35.9761972968046</v>
      </c>
      <c r="G34" s="72">
        <f>621+676+357+360+90+403+102+179+117+342+231</f>
        <v>3478</v>
      </c>
      <c r="H34" s="67">
        <f t="shared" si="14"/>
        <v>12.588222519816137</v>
      </c>
      <c r="I34" s="60">
        <f t="shared" si="0"/>
        <v>227</v>
      </c>
      <c r="J34" s="67">
        <f t="shared" si="1"/>
        <v>6.52673950546291</v>
      </c>
      <c r="K34" s="60">
        <f t="shared" si="2"/>
        <v>187</v>
      </c>
      <c r="L34" s="67">
        <f t="shared" si="3"/>
        <v>82.37885462555066</v>
      </c>
      <c r="M34" s="60">
        <f>14+10+3+4+8+1+6+9+8</f>
        <v>63</v>
      </c>
      <c r="N34" s="60">
        <f>1+3+1+1+2+1</f>
        <v>9</v>
      </c>
      <c r="O34" s="60">
        <v>1</v>
      </c>
      <c r="P34" s="60">
        <f>32+19+8+11+4+7+1+8+7+11+6</f>
        <v>114</v>
      </c>
      <c r="Q34" s="60">
        <f>6+1+1</f>
        <v>8</v>
      </c>
      <c r="R34" s="97">
        <f>1+1+18+1+3+8</f>
        <v>32</v>
      </c>
      <c r="S34" s="91">
        <f t="shared" si="4"/>
        <v>0.2587694077055779</v>
      </c>
      <c r="T34" s="226">
        <f>2+1+2+1</f>
        <v>6</v>
      </c>
      <c r="U34" s="91">
        <f t="shared" si="5"/>
        <v>0.17251293847038526</v>
      </c>
      <c r="V34" s="67">
        <f t="shared" si="6"/>
        <v>4.81283422459893</v>
      </c>
      <c r="W34" s="240">
        <f>452+307+125+134+40+122+27+44+44+115+68</f>
        <v>1478</v>
      </c>
      <c r="X34" s="89">
        <f t="shared" si="11"/>
        <v>42.49568717653824</v>
      </c>
      <c r="Y34" s="260">
        <f>16+284+177+167+98+231+56+105+54+157+101</f>
        <v>1446</v>
      </c>
      <c r="Z34" s="59">
        <v>3317</v>
      </c>
      <c r="AA34" s="274">
        <f t="shared" si="15"/>
        <v>19.360092656266968</v>
      </c>
    </row>
    <row r="35" spans="1:27" ht="9.75" customHeight="1">
      <c r="A35" s="328"/>
      <c r="B35" s="82" t="s">
        <v>7</v>
      </c>
      <c r="C35" s="83"/>
      <c r="D35" s="59">
        <f>23367+17482+4840+4112+2771+6492+1214+1279+1849+4797+1736</f>
        <v>69939</v>
      </c>
      <c r="E35" s="59">
        <f>7687+11119+3267+2058+1817+3578+584+699+1182+2641+518</f>
        <v>35150</v>
      </c>
      <c r="F35" s="89">
        <f t="shared" si="13"/>
        <v>50.258082042923114</v>
      </c>
      <c r="G35" s="72">
        <f>1062+978+503+501+227+572+125+264+142+448+279</f>
        <v>5101</v>
      </c>
      <c r="H35" s="67">
        <f t="shared" si="14"/>
        <v>14.512091038406826</v>
      </c>
      <c r="I35" s="60">
        <f t="shared" si="0"/>
        <v>322</v>
      </c>
      <c r="J35" s="67">
        <f t="shared" si="1"/>
        <v>6.312487747500491</v>
      </c>
      <c r="K35" s="60">
        <f t="shared" si="2"/>
        <v>257</v>
      </c>
      <c r="L35" s="67">
        <f t="shared" si="3"/>
        <v>79.8136645962733</v>
      </c>
      <c r="M35" s="60">
        <f>25+20+4+7+4+11+4+1+17+10</f>
        <v>103</v>
      </c>
      <c r="N35" s="60">
        <f>4+1+1+2+1</f>
        <v>9</v>
      </c>
      <c r="O35" s="60">
        <v>0</v>
      </c>
      <c r="P35" s="60">
        <f>38+30+11+17+8+10+2+11+3+11+4</f>
        <v>145</v>
      </c>
      <c r="Q35" s="60">
        <f>16+1</f>
        <v>17</v>
      </c>
      <c r="R35" s="97">
        <f>1+3+1+2+18+2+3+18</f>
        <v>48</v>
      </c>
      <c r="S35" s="91">
        <f t="shared" si="4"/>
        <v>0.17643599294256027</v>
      </c>
      <c r="T35" s="226">
        <v>1</v>
      </c>
      <c r="U35" s="91">
        <f t="shared" si="5"/>
        <v>0.01960399921584003</v>
      </c>
      <c r="V35" s="67">
        <f t="shared" si="6"/>
        <v>3.501945525291829</v>
      </c>
      <c r="W35" s="240">
        <f>767+466+184+173+68+174+43+40+56+117+60</f>
        <v>2148</v>
      </c>
      <c r="X35" s="89">
        <f t="shared" si="11"/>
        <v>42.10939031562439</v>
      </c>
      <c r="Y35" s="260">
        <f>20+379+242+241+188+311+58+167+59+233+154</f>
        <v>2052</v>
      </c>
      <c r="Z35" s="59">
        <v>4531</v>
      </c>
      <c r="AA35" s="274">
        <f t="shared" si="15"/>
        <v>21.564722617354196</v>
      </c>
    </row>
    <row r="36" spans="1:27" ht="9.75" customHeight="1">
      <c r="A36" s="328"/>
      <c r="B36" s="82" t="s">
        <v>8</v>
      </c>
      <c r="C36" s="83"/>
      <c r="D36" s="59">
        <f>20168+14864+4221+3629+2266+5911+1281+1240+1793+4698+1650</f>
        <v>61721</v>
      </c>
      <c r="E36" s="59">
        <f>2024+10786+3549+2209+1789+3817+780+815+1595+3395+628</f>
        <v>31387</v>
      </c>
      <c r="F36" s="89">
        <f t="shared" si="13"/>
        <v>50.85303219325675</v>
      </c>
      <c r="G36" s="72">
        <f>69+991+350+447+125+439+151+294+151+470+322</f>
        <v>3809</v>
      </c>
      <c r="H36" s="67">
        <f t="shared" si="14"/>
        <v>12.135597540382962</v>
      </c>
      <c r="I36" s="60">
        <f t="shared" si="0"/>
        <v>228</v>
      </c>
      <c r="J36" s="67">
        <f t="shared" si="1"/>
        <v>5.985823050669467</v>
      </c>
      <c r="K36" s="60">
        <f t="shared" si="2"/>
        <v>187</v>
      </c>
      <c r="L36" s="67">
        <f t="shared" si="3"/>
        <v>82.01754385964912</v>
      </c>
      <c r="M36" s="60">
        <f>14+9+15+3+7+2+5+2+18+16</f>
        <v>91</v>
      </c>
      <c r="N36" s="60">
        <f>3+1+1+2+1+1</f>
        <v>9</v>
      </c>
      <c r="O36" s="60">
        <v>1</v>
      </c>
      <c r="P36" s="60">
        <f>2+28+12+16+2+8+6+2+1+5+4</f>
        <v>86</v>
      </c>
      <c r="Q36" s="60">
        <f>1+1+2</f>
        <v>4</v>
      </c>
      <c r="R36" s="97">
        <f>2+1+16+5+13</f>
        <v>37</v>
      </c>
      <c r="S36" s="91">
        <f t="shared" si="4"/>
        <v>0.2362824888422158</v>
      </c>
      <c r="T36" s="226">
        <f>4+1+1+1+1</f>
        <v>8</v>
      </c>
      <c r="U36" s="91">
        <f t="shared" si="5"/>
        <v>0.2100288789708585</v>
      </c>
      <c r="V36" s="67">
        <f t="shared" si="6"/>
        <v>4.81283422459893</v>
      </c>
      <c r="W36" s="240">
        <f>49+333+119+133+65+93+41+25+47+104+81</f>
        <v>1090</v>
      </c>
      <c r="X36" s="89">
        <f t="shared" si="11"/>
        <v>28.61643475977947</v>
      </c>
      <c r="Y36" s="260">
        <f>10+485+192+225+174+236+82+204+62+277+161</f>
        <v>2108</v>
      </c>
      <c r="Z36" s="59">
        <v>3518</v>
      </c>
      <c r="AA36" s="274">
        <f t="shared" si="15"/>
        <v>16.62790327205531</v>
      </c>
    </row>
    <row r="37" spans="1:27" ht="9.75" customHeight="1">
      <c r="A37" s="328"/>
      <c r="B37" s="82" t="s">
        <v>9</v>
      </c>
      <c r="C37" s="83"/>
      <c r="D37" s="59">
        <f>18788+12945+4259+3452+2224+5755+1506+1513+2079+5145+1943</f>
        <v>59609</v>
      </c>
      <c r="E37" s="59">
        <f>215+19040+3859+2243+1949+4243+1209+1007+2005+4129+746</f>
        <v>40645</v>
      </c>
      <c r="F37" s="89">
        <f t="shared" si="13"/>
        <v>68.18601217936889</v>
      </c>
      <c r="G37" s="72">
        <f>889+175+352+144+345+169+330+153+248+355</f>
        <v>3160</v>
      </c>
      <c r="H37" s="67">
        <f t="shared" si="14"/>
        <v>7.774634026325502</v>
      </c>
      <c r="I37" s="60">
        <f t="shared" si="0"/>
        <v>165</v>
      </c>
      <c r="J37" s="67">
        <f t="shared" si="1"/>
        <v>5.2215189873417724</v>
      </c>
      <c r="K37" s="60">
        <f t="shared" si="2"/>
        <v>128</v>
      </c>
      <c r="L37" s="67">
        <f t="shared" si="3"/>
        <v>77.57575757575758</v>
      </c>
      <c r="M37" s="60">
        <f>13+2+4+2+5+6+5+10+9</f>
        <v>56</v>
      </c>
      <c r="N37" s="60">
        <f>2+1+2</f>
        <v>5</v>
      </c>
      <c r="O37" s="60">
        <v>1</v>
      </c>
      <c r="P37" s="60">
        <f>23+5+10+1+6+4+6+3+2+6</f>
        <v>66</v>
      </c>
      <c r="Q37" s="60">
        <f>1+7</f>
        <v>8</v>
      </c>
      <c r="R37" s="97">
        <f>2+13+1+13</f>
        <v>29</v>
      </c>
      <c r="S37" s="91">
        <f t="shared" si="4"/>
        <v>0.15822784810126583</v>
      </c>
      <c r="T37" s="226">
        <v>2</v>
      </c>
      <c r="U37" s="91">
        <f t="shared" si="5"/>
        <v>0.06329113924050633</v>
      </c>
      <c r="V37" s="67">
        <f t="shared" si="6"/>
        <v>3.90625</v>
      </c>
      <c r="W37" s="240">
        <f>237+33+88+39+83+46+40+32+20+76</f>
        <v>694</v>
      </c>
      <c r="X37" s="89">
        <f t="shared" si="11"/>
        <v>21.962025316455698</v>
      </c>
      <c r="Y37" s="260">
        <f>514+112+199+180+186+86+228+75+170+190</f>
        <v>1940</v>
      </c>
      <c r="Z37" s="59">
        <v>3525</v>
      </c>
      <c r="AA37" s="274">
        <f t="shared" si="15"/>
        <v>11.674252675605857</v>
      </c>
    </row>
    <row r="38" spans="1:27" ht="9.75" customHeight="1">
      <c r="A38" s="328"/>
      <c r="B38" s="82" t="s">
        <v>10</v>
      </c>
      <c r="C38" s="83"/>
      <c r="D38" s="59">
        <f>17280+11053+4004+3159+1920+5879+1631+1637+2226+5105+2193</f>
        <v>56087</v>
      </c>
      <c r="E38" s="59">
        <f>186+8885+3730+2111+1658+4076+1254+1015+2165+4125+652</f>
        <v>29857</v>
      </c>
      <c r="F38" s="89">
        <f t="shared" si="13"/>
        <v>53.233369586535204</v>
      </c>
      <c r="G38" s="72">
        <f>421+131+190+57+195+148+262+75+188+241</f>
        <v>1908</v>
      </c>
      <c r="H38" s="67">
        <f t="shared" si="14"/>
        <v>6.39046119837894</v>
      </c>
      <c r="I38" s="60">
        <f t="shared" si="0"/>
        <v>114</v>
      </c>
      <c r="J38" s="67">
        <f t="shared" si="1"/>
        <v>5.9748427672955975</v>
      </c>
      <c r="K38" s="60">
        <f t="shared" si="2"/>
        <v>85</v>
      </c>
      <c r="L38" s="67">
        <f t="shared" si="3"/>
        <v>74.56140350877193</v>
      </c>
      <c r="M38" s="60">
        <f>9+2+2+2+1+1+8+2+9+6</f>
        <v>42</v>
      </c>
      <c r="N38" s="60">
        <v>1</v>
      </c>
      <c r="O38" s="60">
        <v>0</v>
      </c>
      <c r="P38" s="60">
        <f>8+4+4+2+4+3+11+1+2+3</f>
        <v>42</v>
      </c>
      <c r="Q38" s="60">
        <f>2+2</f>
        <v>4</v>
      </c>
      <c r="R38" s="97">
        <f>1+1+11+1+2+9</f>
        <v>25</v>
      </c>
      <c r="S38" s="91">
        <f t="shared" si="4"/>
        <v>0.052410901467505246</v>
      </c>
      <c r="T38" s="226">
        <v>2</v>
      </c>
      <c r="U38" s="91">
        <f t="shared" si="5"/>
        <v>0.10482180293501049</v>
      </c>
      <c r="V38" s="67">
        <f t="shared" si="6"/>
        <v>1.1764705882352942</v>
      </c>
      <c r="W38" s="240">
        <f>82+35+43+35+38+40+16+14+17+43</f>
        <v>363</v>
      </c>
      <c r="X38" s="89">
        <f t="shared" si="11"/>
        <v>19.025157232704405</v>
      </c>
      <c r="Y38" s="260">
        <f>296+72+115+101+104+83+180+36+130+135</f>
        <v>1252</v>
      </c>
      <c r="Z38" s="59">
        <v>2009</v>
      </c>
      <c r="AA38" s="274">
        <f t="shared" si="15"/>
        <v>8.925880028134106</v>
      </c>
    </row>
    <row r="39" spans="1:27" ht="9.75" customHeight="1">
      <c r="A39" s="328"/>
      <c r="B39" s="181" t="s">
        <v>11</v>
      </c>
      <c r="C39" s="182"/>
      <c r="D39" s="180">
        <f>25971+16587+6540+5184+3108+10302+3206+3005+4085+7925+4199</f>
        <v>90112</v>
      </c>
      <c r="E39" s="180">
        <f>158+12702+5577+3427+2691+6608+2008+1350+3003+6081+445</f>
        <v>44050</v>
      </c>
      <c r="F39" s="183">
        <f t="shared" si="13"/>
        <v>48.88361150568182</v>
      </c>
      <c r="G39" s="176">
        <f>199+31+50+24+51+55+70+27+82+90</f>
        <v>679</v>
      </c>
      <c r="H39" s="142">
        <f t="shared" si="14"/>
        <v>1.5414301929625425</v>
      </c>
      <c r="I39" s="141">
        <f t="shared" si="0"/>
        <v>30</v>
      </c>
      <c r="J39" s="142">
        <f t="shared" si="1"/>
        <v>4.418262150220913</v>
      </c>
      <c r="K39" s="141">
        <f t="shared" si="2"/>
        <v>21</v>
      </c>
      <c r="L39" s="142">
        <f t="shared" si="3"/>
        <v>70</v>
      </c>
      <c r="M39" s="141">
        <f>3+1+1+1+2+3</f>
        <v>11</v>
      </c>
      <c r="N39" s="141">
        <v>0</v>
      </c>
      <c r="O39" s="141">
        <v>0</v>
      </c>
      <c r="P39" s="141">
        <f>3+1+2+1+1+2</f>
        <v>10</v>
      </c>
      <c r="Q39" s="141">
        <f>1+1</f>
        <v>2</v>
      </c>
      <c r="R39" s="178">
        <f>1+3+3</f>
        <v>7</v>
      </c>
      <c r="S39" s="179">
        <f t="shared" si="4"/>
        <v>0</v>
      </c>
      <c r="T39" s="227">
        <v>0</v>
      </c>
      <c r="U39" s="179">
        <f t="shared" si="5"/>
        <v>0</v>
      </c>
      <c r="V39" s="142">
        <f t="shared" si="6"/>
        <v>0</v>
      </c>
      <c r="W39" s="241">
        <f>42+7+19+5+11+19+1+5+9+25</f>
        <v>143</v>
      </c>
      <c r="X39" s="183">
        <f t="shared" si="11"/>
        <v>21.06038291605302</v>
      </c>
      <c r="Y39" s="261">
        <f>126+18+21+36+27+26+54+12+56+43</f>
        <v>419</v>
      </c>
      <c r="Z39" s="180">
        <v>718</v>
      </c>
      <c r="AA39" s="275">
        <f t="shared" si="15"/>
        <v>2.2202043132803633</v>
      </c>
    </row>
    <row r="40" spans="1:27" ht="9.75" customHeight="1">
      <c r="A40" s="328"/>
      <c r="B40" s="193" t="s">
        <v>12</v>
      </c>
      <c r="C40" s="87"/>
      <c r="D40" s="35">
        <f>SUM(D31:D39)</f>
        <v>586060</v>
      </c>
      <c r="E40" s="35">
        <f>SUM(E31:E39)</f>
        <v>253152</v>
      </c>
      <c r="F40" s="191">
        <f t="shared" si="13"/>
        <v>43.19557724465072</v>
      </c>
      <c r="G40" s="36">
        <f>SUM(G31:G39)</f>
        <v>25369</v>
      </c>
      <c r="H40" s="38">
        <f t="shared" si="14"/>
        <v>10.021252054101884</v>
      </c>
      <c r="I40" s="37">
        <f t="shared" si="0"/>
        <v>1733</v>
      </c>
      <c r="J40" s="38">
        <f t="shared" si="1"/>
        <v>6.831171902715913</v>
      </c>
      <c r="K40" s="37">
        <f t="shared" si="2"/>
        <v>1395</v>
      </c>
      <c r="L40" s="38">
        <f t="shared" si="3"/>
        <v>80.49624927870744</v>
      </c>
      <c r="M40" s="35">
        <f aca="true" t="shared" si="16" ref="M40:R40">SUM(M31:M39)</f>
        <v>544</v>
      </c>
      <c r="N40" s="35">
        <f t="shared" si="16"/>
        <v>49</v>
      </c>
      <c r="O40" s="35">
        <f t="shared" si="16"/>
        <v>4</v>
      </c>
      <c r="P40" s="35">
        <f t="shared" si="16"/>
        <v>798</v>
      </c>
      <c r="Q40" s="35">
        <f t="shared" si="16"/>
        <v>92</v>
      </c>
      <c r="R40" s="39">
        <f t="shared" si="16"/>
        <v>246</v>
      </c>
      <c r="S40" s="192">
        <f t="shared" si="4"/>
        <v>0.1931491190035082</v>
      </c>
      <c r="T40" s="228">
        <f>SUM(T31:T39)</f>
        <v>24</v>
      </c>
      <c r="U40" s="192">
        <f t="shared" si="5"/>
        <v>0.09460365012416729</v>
      </c>
      <c r="V40" s="38">
        <f t="shared" si="6"/>
        <v>3.512544802867384</v>
      </c>
      <c r="W40" s="242">
        <f>SUM(W31:W39)</f>
        <v>9954</v>
      </c>
      <c r="X40" s="191">
        <f t="shared" si="11"/>
        <v>39.236863888998386</v>
      </c>
      <c r="Y40" s="242">
        <f>SUM(Y31:Y39)</f>
        <v>11508</v>
      </c>
      <c r="Z40" s="242">
        <f>SUM(Z31:Z39)</f>
        <v>23123</v>
      </c>
      <c r="AA40" s="276">
        <f t="shared" si="15"/>
        <v>14.609404626469471</v>
      </c>
    </row>
    <row r="41" spans="1:27" ht="9.75" customHeight="1">
      <c r="A41" s="328"/>
      <c r="B41" s="73" t="s">
        <v>13</v>
      </c>
      <c r="C41" s="190" t="s">
        <v>14</v>
      </c>
      <c r="D41" s="184"/>
      <c r="E41" s="184"/>
      <c r="F41" s="244"/>
      <c r="G41" s="186">
        <f>3228+5861+391+48+757+96+1280</f>
        <v>11661</v>
      </c>
      <c r="H41" s="187"/>
      <c r="I41" s="150">
        <f>SUM(M41:R41)</f>
        <v>948</v>
      </c>
      <c r="J41" s="151">
        <f t="shared" si="1"/>
        <v>8.129662979161308</v>
      </c>
      <c r="K41" s="150">
        <f t="shared" si="2"/>
        <v>736</v>
      </c>
      <c r="L41" s="151">
        <f t="shared" si="3"/>
        <v>77.63713080168776</v>
      </c>
      <c r="M41" s="150">
        <f>84+107+1+2+23+7+54</f>
        <v>278</v>
      </c>
      <c r="N41" s="150">
        <f>9+10+2+1+5</f>
        <v>27</v>
      </c>
      <c r="O41" s="150">
        <v>0</v>
      </c>
      <c r="P41" s="150">
        <f>167+178+1+6+16+4+59</f>
        <v>431</v>
      </c>
      <c r="Q41" s="150">
        <f>51+17</f>
        <v>68</v>
      </c>
      <c r="R41" s="188">
        <f>1+19+108+1+15</f>
        <v>144</v>
      </c>
      <c r="S41" s="189">
        <f t="shared" si="4"/>
        <v>0.2315410342166195</v>
      </c>
      <c r="T41" s="229">
        <f>8+1+2</f>
        <v>11</v>
      </c>
      <c r="U41" s="189">
        <f t="shared" si="5"/>
        <v>0.09433153245862276</v>
      </c>
      <c r="V41" s="151">
        <f t="shared" si="6"/>
        <v>3.6684782608695654</v>
      </c>
      <c r="W41" s="238">
        <f>2771+2448+210+31+203+53+472</f>
        <v>6188</v>
      </c>
      <c r="X41" s="246">
        <f t="shared" si="11"/>
        <v>53.06577480490524</v>
      </c>
      <c r="Y41" s="258">
        <f>8+2621+151+10+59+33+544</f>
        <v>3426</v>
      </c>
      <c r="Z41" s="269"/>
      <c r="AA41" s="273"/>
    </row>
    <row r="42" spans="1:27" ht="9.75" customHeight="1" thickBot="1">
      <c r="A42" s="329"/>
      <c r="B42" s="78" t="s">
        <v>15</v>
      </c>
      <c r="C42" s="76" t="s">
        <v>16</v>
      </c>
      <c r="D42" s="169"/>
      <c r="E42" s="169"/>
      <c r="F42" s="245"/>
      <c r="G42" s="77">
        <f>228+1806+2456+875+2281+892+1685+728+1191+1904</f>
        <v>14046</v>
      </c>
      <c r="H42" s="173"/>
      <c r="I42" s="62">
        <f t="shared" si="0"/>
        <v>785</v>
      </c>
      <c r="J42" s="69">
        <f t="shared" si="1"/>
        <v>5.588779723764773</v>
      </c>
      <c r="K42" s="62">
        <f t="shared" si="2"/>
        <v>659</v>
      </c>
      <c r="L42" s="69">
        <f t="shared" si="3"/>
        <v>83.94904458598727</v>
      </c>
      <c r="M42" s="62">
        <f>4+31+40+16+19+9+25+17+42+63</f>
        <v>266</v>
      </c>
      <c r="N42" s="62">
        <f>1+3+3+5+1+1+2+3+3</f>
        <v>22</v>
      </c>
      <c r="O42" s="62">
        <f>2+1+1</f>
        <v>4</v>
      </c>
      <c r="P42" s="62">
        <f>6+66+81+19+52+20+53+17+17+36</f>
        <v>367</v>
      </c>
      <c r="Q42" s="62">
        <f>1+1+22</f>
        <v>24</v>
      </c>
      <c r="R42" s="98">
        <f>4+2+6+3+2+2+2+6+75</f>
        <v>102</v>
      </c>
      <c r="S42" s="92">
        <f t="shared" si="4"/>
        <v>0.15662822155773887</v>
      </c>
      <c r="T42" s="230">
        <f>3+3+1+1+2+3</f>
        <v>13</v>
      </c>
      <c r="U42" s="92">
        <f t="shared" si="5"/>
        <v>0.09255304001139114</v>
      </c>
      <c r="V42" s="69">
        <f t="shared" si="6"/>
        <v>3.338391502276176</v>
      </c>
      <c r="W42" s="239">
        <f>57+564+835+336+599+267+252+221+163+472</f>
        <v>3766</v>
      </c>
      <c r="X42" s="249">
        <f t="shared" si="11"/>
        <v>26.81190374483839</v>
      </c>
      <c r="Y42" s="259">
        <f>57+959+1210+929+1331+458+1088+322+770+958</f>
        <v>8082</v>
      </c>
      <c r="Z42" s="271"/>
      <c r="AA42" s="272"/>
    </row>
    <row r="43" spans="23:25" ht="9.75" customHeight="1">
      <c r="W43" s="243"/>
      <c r="Y43" s="243"/>
    </row>
    <row r="44" spans="1:25" ht="9.75" customHeight="1">
      <c r="A44" s="1" t="s">
        <v>111</v>
      </c>
      <c r="D44" s="99"/>
      <c r="W44" s="243"/>
      <c r="Y44" s="243"/>
    </row>
    <row r="45" spans="1:25" ht="9.75" customHeight="1">
      <c r="A45" s="1" t="s">
        <v>112</v>
      </c>
      <c r="D45" s="99"/>
      <c r="W45" s="243"/>
      <c r="Y45" s="243"/>
    </row>
    <row r="46" ht="9.75" customHeight="1">
      <c r="Y46" s="243"/>
    </row>
    <row r="47" spans="5:25" ht="9.75" customHeight="1">
      <c r="E47" s="2"/>
      <c r="F47" s="1"/>
      <c r="G47" s="2"/>
      <c r="H47" s="1"/>
      <c r="I47" s="2"/>
      <c r="J47" s="1"/>
      <c r="K47" s="2"/>
      <c r="L47" s="1"/>
      <c r="R47" s="3"/>
      <c r="U47" s="2"/>
      <c r="V47" s="1"/>
      <c r="Y47" s="243"/>
    </row>
    <row r="48" spans="5:22" ht="9.75" customHeight="1">
      <c r="E48" s="2"/>
      <c r="F48" s="1"/>
      <c r="G48" s="2"/>
      <c r="H48" s="1"/>
      <c r="I48" s="2"/>
      <c r="J48" s="1"/>
      <c r="K48" s="2"/>
      <c r="L48" s="1"/>
      <c r="R48" s="3"/>
      <c r="U48" s="2"/>
      <c r="V48" s="1"/>
    </row>
    <row r="49" spans="5:22" ht="9.75" customHeight="1">
      <c r="E49" s="2"/>
      <c r="F49" s="1"/>
      <c r="G49" s="2"/>
      <c r="H49" s="1"/>
      <c r="I49" s="2"/>
      <c r="J49" s="1"/>
      <c r="K49" s="2"/>
      <c r="L49" s="1"/>
      <c r="R49" s="3"/>
      <c r="U49" s="2"/>
      <c r="V49" s="1"/>
    </row>
  </sheetData>
  <mergeCells count="10">
    <mergeCell ref="W2:X2"/>
    <mergeCell ref="Y2:AA2"/>
    <mergeCell ref="A19:A30"/>
    <mergeCell ref="A31:A42"/>
    <mergeCell ref="A5:A18"/>
    <mergeCell ref="K2:L2"/>
    <mergeCell ref="M2:P2"/>
    <mergeCell ref="A2:C4"/>
    <mergeCell ref="G2:J2"/>
    <mergeCell ref="S2:U2"/>
  </mergeCells>
  <printOptions/>
  <pageMargins left="0.7874015748031497" right="0.3937007874015748" top="0.7874015748031497" bottom="0.7874015748031497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2009-11-27T01:40:20Z</cp:lastPrinted>
  <dcterms:created xsi:type="dcterms:W3CDTF">2008-09-01T02:50:10Z</dcterms:created>
  <dcterms:modified xsi:type="dcterms:W3CDTF">2009-12-18T07:59:45Z</dcterms:modified>
  <cp:category/>
  <cp:version/>
  <cp:contentType/>
  <cp:contentStatus/>
</cp:coreProperties>
</file>